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<sst xmlns="http://schemas.openxmlformats.org/spreadsheetml/2006/main" count="455" uniqueCount="193">
  <si>
    <t>2,4 группа</t>
  </si>
  <si>
    <t>№ рец.</t>
  </si>
  <si>
    <t>Прием пищи, наименование блюда</t>
  </si>
  <si>
    <t xml:space="preserve">Масса порции </t>
  </si>
  <si>
    <t>Цена</t>
  </si>
  <si>
    <t>Пищевые вещества (г)</t>
  </si>
  <si>
    <t>Энерг. ценность (ккал)</t>
  </si>
  <si>
    <t>Витамины (мг)</t>
  </si>
  <si>
    <t>Минеральные вещества (мг)</t>
  </si>
  <si>
    <t>Белки</t>
  </si>
  <si>
    <t>Жиры</t>
  </si>
  <si>
    <t>Углеводы</t>
  </si>
  <si>
    <t>С</t>
  </si>
  <si>
    <t>Ca</t>
  </si>
  <si>
    <t>Fe</t>
  </si>
  <si>
    <t>сад</t>
  </si>
  <si>
    <t>ясли</t>
  </si>
  <si>
    <t xml:space="preserve">Завтрак </t>
  </si>
  <si>
    <t>510./04</t>
  </si>
  <si>
    <t>648./04</t>
  </si>
  <si>
    <t>Кисель</t>
  </si>
  <si>
    <t>200</t>
  </si>
  <si>
    <t>150</t>
  </si>
  <si>
    <t>Итого</t>
  </si>
  <si>
    <t>2 Завтрак</t>
  </si>
  <si>
    <t>707./04</t>
  </si>
  <si>
    <t>180</t>
  </si>
  <si>
    <t>Обед</t>
  </si>
  <si>
    <t>60</t>
  </si>
  <si>
    <t>75</t>
  </si>
  <si>
    <t>Хлеб "Рябинушка"</t>
  </si>
  <si>
    <t>1/20</t>
  </si>
  <si>
    <t>Хлеб "Дарницкий"</t>
  </si>
  <si>
    <t>Полдник</t>
  </si>
  <si>
    <t>697./04</t>
  </si>
  <si>
    <t xml:space="preserve">Молоко кипяченое </t>
  </si>
  <si>
    <t>Ужин</t>
  </si>
  <si>
    <t>Итого за день</t>
  </si>
  <si>
    <t>1./04</t>
  </si>
  <si>
    <t xml:space="preserve">Батон с маслом </t>
  </si>
  <si>
    <t xml:space="preserve">Кофейный напиток с молоком </t>
  </si>
  <si>
    <t xml:space="preserve">2 Завтрак </t>
  </si>
  <si>
    <t xml:space="preserve">Полдник </t>
  </si>
  <si>
    <t>698./04</t>
  </si>
  <si>
    <t>Десерт фруктовый "Яблоко"</t>
  </si>
  <si>
    <t>311./04</t>
  </si>
  <si>
    <t>ТТК-305</t>
  </si>
  <si>
    <t xml:space="preserve">Какао с молоком </t>
  </si>
  <si>
    <t>516./04</t>
  </si>
  <si>
    <t>Макароны отварные</t>
  </si>
  <si>
    <t>395/10</t>
  </si>
  <si>
    <t>Завтрак</t>
  </si>
  <si>
    <t xml:space="preserve">2 завтрак </t>
  </si>
  <si>
    <t xml:space="preserve">ИТОГО ЗА НЕДЕЛЮ:                                    </t>
  </si>
  <si>
    <t>В среднем в день</t>
  </si>
  <si>
    <t>к устройству, содержанию и организации режима работы в дошкольных организациях"</t>
  </si>
  <si>
    <r>
      <t>В</t>
    </r>
    <r>
      <rPr>
        <vertAlign val="subscript"/>
        <sz val="10"/>
        <rFont val="Times New Roman"/>
        <family val="1"/>
      </rPr>
      <t>2</t>
    </r>
  </si>
  <si>
    <t xml:space="preserve">Генеральный директор                                                                                                                     </t>
  </si>
  <si>
    <t>В.П. Гусева</t>
  </si>
  <si>
    <t xml:space="preserve">Зам. директора по производству и качеству                                                              </t>
  </si>
  <si>
    <t>Р.И. Самигулова</t>
  </si>
  <si>
    <t>130</t>
  </si>
  <si>
    <t>Рекомендуемые нормы физиологических потребностей для детей с 3 до 7 лет в пищевых веществах и энергии согласно СанПиН 2.4.1.3049 - 13 "Санитарно - эпидемиологические требования</t>
  </si>
  <si>
    <t>Сок разливной</t>
  </si>
  <si>
    <t>337./04</t>
  </si>
  <si>
    <t>Яйцо вареное</t>
  </si>
  <si>
    <t>1 шт</t>
  </si>
  <si>
    <t>100/50</t>
  </si>
  <si>
    <t>11 группа: сады № 28, 30, 34, 40, 50, 50(ф), 51, 52, 54, 93, 103, 110</t>
  </si>
  <si>
    <t>3./04</t>
  </si>
  <si>
    <r>
      <t>В</t>
    </r>
    <r>
      <rPr>
        <vertAlign val="subscript"/>
        <sz val="10"/>
        <rFont val="Times New Roman"/>
        <family val="1"/>
      </rPr>
      <t>1</t>
    </r>
  </si>
  <si>
    <t xml:space="preserve">УТВЕРЖДАЮ:        </t>
  </si>
  <si>
    <t>Главный специалист отдела</t>
  </si>
  <si>
    <t>дошкольного образования</t>
  </si>
  <si>
    <t>Кефир</t>
  </si>
  <si>
    <t>12 группа: сады № 7, 12, 14, 18, 21, 29, 31, 35, 39, 46, 97, 106, 115</t>
  </si>
  <si>
    <t>17 группа: сады № 41, 44, 53, 61, 78, 80, 83, 94, 98, 104, 111, 114</t>
  </si>
  <si>
    <t>18 группа: сады № 8, 9, 16, 27, 62, 65, 66, 82, 86, 108, 109, 118</t>
  </si>
  <si>
    <t>200/25</t>
  </si>
  <si>
    <t>150/25</t>
  </si>
  <si>
    <t>1/46,4</t>
  </si>
  <si>
    <t>1/40,6</t>
  </si>
  <si>
    <t>160./04</t>
  </si>
  <si>
    <t>Каша пшеничная вязкая</t>
  </si>
  <si>
    <t>124/04</t>
  </si>
  <si>
    <t>78./04</t>
  </si>
  <si>
    <t>ТТК-653</t>
  </si>
  <si>
    <t xml:space="preserve">Зразы мясные "Любимые" с сыром </t>
  </si>
  <si>
    <t xml:space="preserve">Экономист по ценам                                                                                                  </t>
  </si>
  <si>
    <t>100</t>
  </si>
  <si>
    <t>520./04</t>
  </si>
  <si>
    <t>Картофельное пюре</t>
  </si>
  <si>
    <t>50/50</t>
  </si>
  <si>
    <t>20/5</t>
  </si>
  <si>
    <t>437/04</t>
  </si>
  <si>
    <t xml:space="preserve">Гуляш из говядины </t>
  </si>
  <si>
    <t>150/30</t>
  </si>
  <si>
    <t>ТТК-475</t>
  </si>
  <si>
    <t>Чай полусладкий</t>
  </si>
  <si>
    <t>200/3</t>
  </si>
  <si>
    <t>150/3</t>
  </si>
  <si>
    <t xml:space="preserve">Капуста тушеная </t>
  </si>
  <si>
    <t>367./04</t>
  </si>
  <si>
    <t>Галушки из творога отварные с маслом</t>
  </si>
  <si>
    <t>195/5</t>
  </si>
  <si>
    <t>145/5</t>
  </si>
  <si>
    <t>Суп молочный с макаронными изделиями (вермишель)</t>
  </si>
  <si>
    <t>Каша гречневая вязкая</t>
  </si>
  <si>
    <t>ТТК-814</t>
  </si>
  <si>
    <t>161./04</t>
  </si>
  <si>
    <t>Булочка "Домашняя"</t>
  </si>
  <si>
    <t>30</t>
  </si>
  <si>
    <t>Напиток "Фруктовый" из сухофруктов</t>
  </si>
  <si>
    <t xml:space="preserve">Икра морковная </t>
  </si>
  <si>
    <t>534/04</t>
  </si>
  <si>
    <t>Каша молочная манная (жидкая) с маслом</t>
  </si>
  <si>
    <t>269./04</t>
  </si>
  <si>
    <t>Запеканка овощная с соусом сметанным</t>
  </si>
  <si>
    <t>110./04</t>
  </si>
  <si>
    <t>ТТК-739</t>
  </si>
  <si>
    <t xml:space="preserve">Котлеты "Татарские" </t>
  </si>
  <si>
    <t>ТТК-317</t>
  </si>
  <si>
    <t>ТТК-62</t>
  </si>
  <si>
    <t>Салат из отварной свеклы</t>
  </si>
  <si>
    <t>ТТК-315</t>
  </si>
  <si>
    <t>131/04</t>
  </si>
  <si>
    <t xml:space="preserve">Рассольник "Домашний" со сметаной </t>
  </si>
  <si>
    <t xml:space="preserve">Борщ из св. капусты с карт.на мясокостном бульоне со сметаной </t>
  </si>
  <si>
    <t>ТТК-734</t>
  </si>
  <si>
    <t xml:space="preserve">Котлеты рыбные "Морячка" </t>
  </si>
  <si>
    <t>ТТК-147</t>
  </si>
  <si>
    <t>Компот из черной смородины</t>
  </si>
  <si>
    <t>Компот "Фруктовый" из кураги</t>
  </si>
  <si>
    <t>14 группа: сады № 10, 17, 20, 26, 49, 64, 72, 73, 75, 92, 96, 105, 120</t>
  </si>
  <si>
    <t>Фатхуллина Г.А.</t>
  </si>
  <si>
    <t xml:space="preserve">Зам. начальника производственного отдела </t>
  </si>
  <si>
    <t xml:space="preserve">Ю.В. Прокофьева </t>
  </si>
  <si>
    <t>ТТК-341</t>
  </si>
  <si>
    <t>Запеканка "Сладкоежка" с соусом молочным сладким</t>
  </si>
  <si>
    <t>150/50</t>
  </si>
  <si>
    <t>Н.В. Журавлева</t>
  </si>
  <si>
    <t>170</t>
  </si>
  <si>
    <t>Суп молочный с пшеном</t>
  </si>
  <si>
    <t>302/04</t>
  </si>
  <si>
    <t xml:space="preserve">Каша молочная ячневая (вязкая) с маслом </t>
  </si>
  <si>
    <t xml:space="preserve">Каша пшенная вязкая </t>
  </si>
  <si>
    <t>139/04</t>
  </si>
  <si>
    <t>71/04</t>
  </si>
  <si>
    <t>ТТК-450</t>
  </si>
  <si>
    <t xml:space="preserve">Котлета "Камская" </t>
  </si>
  <si>
    <t>Каша рисовая вязкая</t>
  </si>
  <si>
    <r>
      <t>Щи из свежей капусты с карт. с мясн. фрикад.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со сметаной </t>
    </r>
  </si>
  <si>
    <t>Десерт фруктовый "Апельсин"</t>
  </si>
  <si>
    <t>160</t>
  </si>
  <si>
    <t>ТТК-394</t>
  </si>
  <si>
    <t>180/25</t>
  </si>
  <si>
    <t>Молоко кипяченое с печеньем "Со вкусом топл. молока"</t>
  </si>
  <si>
    <t>Запеканка картофельная  с мясом птицы с соусом молочным</t>
  </si>
  <si>
    <t>130/25</t>
  </si>
  <si>
    <t>135</t>
  </si>
  <si>
    <t>Батон  с сыром</t>
  </si>
  <si>
    <t>45./04</t>
  </si>
  <si>
    <t>Салат из квашеной капусты   (без лука)</t>
  </si>
  <si>
    <t>54</t>
  </si>
  <si>
    <t>40</t>
  </si>
  <si>
    <t>ТТК-54</t>
  </si>
  <si>
    <t>Салат "Бурячок" (без лука)</t>
  </si>
  <si>
    <t>56</t>
  </si>
  <si>
    <t>42</t>
  </si>
  <si>
    <t>142./04</t>
  </si>
  <si>
    <t xml:space="preserve">Суп картофельный с рыбными фрикадельками </t>
  </si>
  <si>
    <t>Винегрет овощной (без лука)</t>
  </si>
  <si>
    <t>51</t>
  </si>
  <si>
    <t>38</t>
  </si>
  <si>
    <t xml:space="preserve">Суп картофельный с горохом </t>
  </si>
  <si>
    <t>180/18</t>
  </si>
  <si>
    <t>200/5</t>
  </si>
  <si>
    <t>150/5</t>
  </si>
  <si>
    <t>200/25/5</t>
  </si>
  <si>
    <t>150/25/5</t>
  </si>
  <si>
    <t>50</t>
  </si>
  <si>
    <t xml:space="preserve">НЕДЕЛЬНОЕ МЕНЮ ДЛЯ ОБЩЕРАЗВИВАЮЩИХ ДЕТСКИХ САДОВ С 02.04.18г по 06.04.18г    </t>
  </si>
  <si>
    <t>ПОНЕДЕЛЬНИК 02/04</t>
  </si>
  <si>
    <t>ВТОРНИК 03/04</t>
  </si>
  <si>
    <t>СРЕДА 04/04</t>
  </si>
  <si>
    <t>ЧЕТВЕРГ 05/04</t>
  </si>
  <si>
    <t>ПЯТНИЦА 06/04</t>
  </si>
  <si>
    <t>Компот "Фруктовый" из изюма</t>
  </si>
  <si>
    <t>390./04</t>
  </si>
  <si>
    <t>Котлеты рыбные "Любительские"</t>
  </si>
  <si>
    <t>145</t>
  </si>
  <si>
    <t>144</t>
  </si>
  <si>
    <t>141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</si>
</sst>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4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7"/>
      <name val="Times New Roman"/>
      <family val="1"/>
    </font>
    <font>
      <sz val="9"/>
      <color indexed="10"/>
      <name val="Times New Roman"/>
      <family val="1"/>
    </font>
    <font>
      <vertAlign val="subscript"/>
      <sz val="10"/>
      <name val="Times New Roman"/>
      <family val="1"/>
    </font>
    <font>
      <sz val="11.5"/>
      <name val="Times New Roman"/>
      <family val="1"/>
    </font>
    <font>
      <sz val="11"/>
      <name val="Arial Cyr"/>
      <family val="2"/>
    </font>
    <font>
      <sz val="13"/>
      <name val="Times New Roman"/>
      <family val="1"/>
    </font>
    <font>
      <u val="single"/>
      <sz val="10"/>
      <name val="Times New Roman"/>
      <family val="1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>
      <alignment horizontal="left"/>
      <protection/>
    </xf>
    <xf numFmtId="0" fontId="14" fillId="0" borderId="0">
      <alignment horizontal="left"/>
      <protection/>
    </xf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9" fillId="4" borderId="0" applyNumberFormat="0" applyBorder="0" applyAlignment="0" applyProtection="0"/>
  </cellStyleXfs>
  <cellXfs count="169">
    <xf numFmtId="0" fontId="0" fillId="0" borderId="0" xfId="0" applyAlignment="1">
      <alignment/>
    </xf>
    <xf numFmtId="0" fontId="20" fillId="0" borderId="0" xfId="0" applyFont="1" applyAlignment="1">
      <alignment horizontal="center"/>
    </xf>
    <xf numFmtId="0" fontId="21" fillId="0" borderId="0" xfId="0" applyFont="1" applyFill="1" applyAlignment="1">
      <alignment/>
    </xf>
    <xf numFmtId="2" fontId="21" fillId="0" borderId="0" xfId="0" applyNumberFormat="1" applyFont="1" applyFill="1" applyAlignment="1">
      <alignment/>
    </xf>
    <xf numFmtId="0" fontId="22" fillId="0" borderId="0" xfId="0" applyFont="1" applyFill="1" applyAlignment="1">
      <alignment/>
    </xf>
    <xf numFmtId="0" fontId="21" fillId="0" borderId="0" xfId="0" applyFont="1" applyFill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Border="1" applyAlignment="1">
      <alignment/>
    </xf>
    <xf numFmtId="0" fontId="22" fillId="0" borderId="0" xfId="0" applyFont="1" applyAlignment="1">
      <alignment/>
    </xf>
    <xf numFmtId="0" fontId="23" fillId="0" borderId="0" xfId="0" applyFont="1" applyFill="1" applyAlignment="1">
      <alignment/>
    </xf>
    <xf numFmtId="0" fontId="21" fillId="0" borderId="0" xfId="0" applyFont="1" applyBorder="1" applyAlignment="1">
      <alignment/>
    </xf>
    <xf numFmtId="0" fontId="22" fillId="0" borderId="0" xfId="0" applyFont="1" applyBorder="1" applyAlignment="1">
      <alignment/>
    </xf>
    <xf numFmtId="0" fontId="20" fillId="0" borderId="10" xfId="0" applyFont="1" applyBorder="1" applyAlignment="1">
      <alignment horizontal="center"/>
    </xf>
    <xf numFmtId="2" fontId="24" fillId="0" borderId="10" xfId="0" applyNumberFormat="1" applyFont="1" applyFill="1" applyBorder="1" applyAlignment="1">
      <alignment horizontal="center" vertical="top" wrapText="1"/>
    </xf>
    <xf numFmtId="2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20" fillId="0" borderId="10" xfId="0" applyFont="1" applyFill="1" applyBorder="1" applyAlignment="1">
      <alignment horizontal="center"/>
    </xf>
    <xf numFmtId="0" fontId="21" fillId="0" borderId="10" xfId="0" applyFont="1" applyFill="1" applyBorder="1" applyAlignment="1">
      <alignment vertical="top" wrapText="1"/>
    </xf>
    <xf numFmtId="49" fontId="25" fillId="0" borderId="10" xfId="0" applyNumberFormat="1" applyFont="1" applyFill="1" applyBorder="1" applyAlignment="1">
      <alignment horizontal="center" vertical="center" wrapText="1"/>
    </xf>
    <xf numFmtId="2" fontId="25" fillId="0" borderId="10" xfId="0" applyNumberFormat="1" applyFont="1" applyFill="1" applyBorder="1" applyAlignment="1">
      <alignment horizontal="center" vertical="center" wrapText="1"/>
    </xf>
    <xf numFmtId="2" fontId="25" fillId="0" borderId="10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49" fontId="21" fillId="0" borderId="10" xfId="0" applyNumberFormat="1" applyFont="1" applyFill="1" applyBorder="1" applyAlignment="1">
      <alignment vertical="top" wrapText="1"/>
    </xf>
    <xf numFmtId="0" fontId="25" fillId="0" borderId="10" xfId="0" applyNumberFormat="1" applyFont="1" applyFill="1" applyBorder="1" applyAlignment="1">
      <alignment horizontal="center" vertical="center" wrapText="1"/>
    </xf>
    <xf numFmtId="2" fontId="25" fillId="0" borderId="10" xfId="52" applyNumberFormat="1" applyFont="1" applyFill="1" applyBorder="1" applyAlignment="1">
      <alignment horizontal="center" vertical="center"/>
      <protection/>
    </xf>
    <xf numFmtId="2" fontId="25" fillId="0" borderId="10" xfId="53" applyNumberFormat="1" applyFont="1" applyFill="1" applyBorder="1" applyAlignment="1">
      <alignment horizontal="center" vertical="center"/>
      <protection/>
    </xf>
    <xf numFmtId="2" fontId="25" fillId="0" borderId="10" xfId="52" applyNumberFormat="1" applyFont="1" applyBorder="1" applyAlignment="1">
      <alignment horizontal="center" vertical="center"/>
      <protection/>
    </xf>
    <xf numFmtId="2" fontId="26" fillId="0" borderId="10" xfId="0" applyNumberFormat="1" applyFont="1" applyFill="1" applyBorder="1" applyAlignment="1">
      <alignment horizontal="center" vertical="center" wrapText="1"/>
    </xf>
    <xf numFmtId="2" fontId="25" fillId="0" borderId="1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2" fontId="25" fillId="0" borderId="12" xfId="0" applyNumberFormat="1" applyFont="1" applyFill="1" applyBorder="1" applyAlignment="1">
      <alignment horizontal="center" vertical="center" wrapText="1"/>
    </xf>
    <xf numFmtId="2" fontId="25" fillId="0" borderId="13" xfId="0" applyNumberFormat="1" applyFont="1" applyFill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21" fillId="0" borderId="14" xfId="0" applyFont="1" applyFill="1" applyBorder="1" applyAlignment="1">
      <alignment vertical="top" wrapText="1"/>
    </xf>
    <xf numFmtId="2" fontId="25" fillId="0" borderId="15" xfId="0" applyNumberFormat="1" applyFont="1" applyFill="1" applyBorder="1" applyAlignment="1">
      <alignment horizontal="center" vertical="center"/>
    </xf>
    <xf numFmtId="2" fontId="21" fillId="0" borderId="10" xfId="0" applyNumberFormat="1" applyFont="1" applyFill="1" applyBorder="1" applyAlignment="1">
      <alignment horizontal="center" vertical="center" wrapText="1"/>
    </xf>
    <xf numFmtId="2" fontId="28" fillId="0" borderId="10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vertical="top" wrapText="1"/>
    </xf>
    <xf numFmtId="49" fontId="21" fillId="0" borderId="0" xfId="0" applyNumberFormat="1" applyFont="1" applyFill="1" applyBorder="1" applyAlignment="1">
      <alignment horizontal="center" vertical="center" wrapText="1"/>
    </xf>
    <xf numFmtId="2" fontId="21" fillId="0" borderId="0" xfId="0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/>
    </xf>
    <xf numFmtId="2" fontId="21" fillId="0" borderId="0" xfId="0" applyNumberFormat="1" applyFont="1" applyFill="1" applyBorder="1" applyAlignment="1">
      <alignment horizontal="center" vertical="center"/>
    </xf>
    <xf numFmtId="2" fontId="21" fillId="0" borderId="0" xfId="0" applyNumberFormat="1" applyFont="1" applyFill="1" applyAlignment="1">
      <alignment horizontal="center" vertical="center"/>
    </xf>
    <xf numFmtId="0" fontId="21" fillId="0" borderId="0" xfId="0" applyFont="1" applyBorder="1" applyAlignment="1">
      <alignment horizontal="left"/>
    </xf>
    <xf numFmtId="0" fontId="30" fillId="0" borderId="0" xfId="0" applyFont="1" applyAlignment="1">
      <alignment/>
    </xf>
    <xf numFmtId="2" fontId="30" fillId="0" borderId="0" xfId="0" applyNumberFormat="1" applyFont="1" applyAlignment="1">
      <alignment/>
    </xf>
    <xf numFmtId="0" fontId="30" fillId="0" borderId="0" xfId="0" applyFont="1" applyAlignment="1">
      <alignment horizontal="left"/>
    </xf>
    <xf numFmtId="0" fontId="31" fillId="0" borderId="0" xfId="0" applyFont="1" applyFill="1" applyAlignment="1">
      <alignment/>
    </xf>
    <xf numFmtId="2" fontId="31" fillId="0" borderId="0" xfId="0" applyNumberFormat="1" applyFont="1" applyFill="1" applyAlignment="1">
      <alignment/>
    </xf>
    <xf numFmtId="0" fontId="32" fillId="0" borderId="0" xfId="0" applyFont="1" applyFill="1" applyBorder="1" applyAlignment="1">
      <alignment horizontal="left" wrapText="1"/>
    </xf>
    <xf numFmtId="0" fontId="23" fillId="0" borderId="0" xfId="0" applyFont="1" applyFill="1" applyBorder="1" applyAlignment="1">
      <alignment horizontal="center" wrapText="1"/>
    </xf>
    <xf numFmtId="1" fontId="23" fillId="0" borderId="0" xfId="0" applyNumberFormat="1" applyFont="1" applyFill="1" applyBorder="1" applyAlignment="1">
      <alignment horizontal="center" wrapText="1"/>
    </xf>
    <xf numFmtId="2" fontId="23" fillId="0" borderId="0" xfId="0" applyNumberFormat="1" applyFont="1" applyFill="1" applyBorder="1" applyAlignment="1">
      <alignment horizontal="center" wrapText="1"/>
    </xf>
    <xf numFmtId="2" fontId="30" fillId="0" borderId="0" xfId="0" applyNumberFormat="1" applyFont="1" applyAlignment="1">
      <alignment horizontal="center" vertical="center"/>
    </xf>
    <xf numFmtId="0" fontId="21" fillId="0" borderId="16" xfId="0" applyFont="1" applyFill="1" applyBorder="1" applyAlignment="1">
      <alignment vertical="top" wrapText="1"/>
    </xf>
    <xf numFmtId="49" fontId="25" fillId="0" borderId="16" xfId="0" applyNumberFormat="1" applyFont="1" applyFill="1" applyBorder="1" applyAlignment="1">
      <alignment horizontal="center" vertical="center" wrapText="1"/>
    </xf>
    <xf numFmtId="2" fontId="25" fillId="0" borderId="16" xfId="0" applyNumberFormat="1" applyFont="1" applyFill="1" applyBorder="1" applyAlignment="1">
      <alignment horizontal="center" vertical="center" wrapText="1"/>
    </xf>
    <xf numFmtId="2" fontId="25" fillId="0" borderId="16" xfId="0" applyNumberFormat="1" applyFont="1" applyFill="1" applyBorder="1" applyAlignment="1">
      <alignment horizontal="center" vertical="center"/>
    </xf>
    <xf numFmtId="2" fontId="25" fillId="0" borderId="16" xfId="52" applyNumberFormat="1" applyFont="1" applyFill="1" applyBorder="1" applyAlignment="1">
      <alignment horizontal="center" vertical="center"/>
      <protection/>
    </xf>
    <xf numFmtId="49" fontId="21" fillId="0" borderId="16" xfId="0" applyNumberFormat="1" applyFont="1" applyFill="1" applyBorder="1" applyAlignment="1">
      <alignment vertical="top" wrapText="1"/>
    </xf>
    <xf numFmtId="2" fontId="25" fillId="0" borderId="16" xfId="52" applyNumberFormat="1" applyFont="1" applyBorder="1" applyAlignment="1">
      <alignment horizontal="center" vertical="center"/>
      <protection/>
    </xf>
    <xf numFmtId="2" fontId="25" fillId="0" borderId="16" xfId="53" applyNumberFormat="1" applyFont="1" applyBorder="1" applyAlignment="1">
      <alignment horizontal="center" vertical="center"/>
      <protection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2" fontId="25" fillId="0" borderId="16" xfId="53" applyNumberFormat="1" applyFont="1" applyFill="1" applyBorder="1" applyAlignment="1">
      <alignment horizontal="center" vertical="center"/>
      <protection/>
    </xf>
    <xf numFmtId="0" fontId="22" fillId="0" borderId="0" xfId="0" applyFont="1" applyFill="1" applyBorder="1" applyAlignment="1">
      <alignment/>
    </xf>
    <xf numFmtId="0" fontId="21" fillId="0" borderId="0" xfId="0" applyFont="1" applyAlignment="1">
      <alignment/>
    </xf>
    <xf numFmtId="49" fontId="25" fillId="0" borderId="13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164" fontId="26" fillId="0" borderId="10" xfId="0" applyNumberFormat="1" applyFont="1" applyFill="1" applyBorder="1" applyAlignment="1">
      <alignment horizontal="center" vertical="center" wrapText="1"/>
    </xf>
    <xf numFmtId="2" fontId="26" fillId="0" borderId="0" xfId="0" applyNumberFormat="1" applyFont="1" applyFill="1" applyBorder="1" applyAlignment="1">
      <alignment horizontal="center" vertical="center" wrapText="1"/>
    </xf>
    <xf numFmtId="0" fontId="0" fillId="0" borderId="17" xfId="0" applyBorder="1" applyAlignment="1">
      <alignment/>
    </xf>
    <xf numFmtId="2" fontId="25" fillId="0" borderId="17" xfId="0" applyNumberFormat="1" applyFont="1" applyFill="1" applyBorder="1" applyAlignment="1">
      <alignment horizontal="center" vertical="center"/>
    </xf>
    <xf numFmtId="2" fontId="26" fillId="0" borderId="17" xfId="0" applyNumberFormat="1" applyFont="1" applyFill="1" applyBorder="1" applyAlignment="1">
      <alignment horizontal="center" vertical="center" wrapText="1"/>
    </xf>
    <xf numFmtId="2" fontId="25" fillId="0" borderId="17" xfId="0" applyNumberFormat="1" applyFont="1" applyBorder="1" applyAlignment="1">
      <alignment horizontal="center" vertical="center"/>
    </xf>
    <xf numFmtId="2" fontId="25" fillId="0" borderId="17" xfId="52" applyNumberFormat="1" applyFont="1" applyBorder="1" applyAlignment="1">
      <alignment horizontal="center" vertical="center"/>
      <protection/>
    </xf>
    <xf numFmtId="2" fontId="25" fillId="0" borderId="17" xfId="53" applyNumberFormat="1" applyFont="1" applyFill="1" applyBorder="1" applyAlignment="1">
      <alignment horizontal="center" vertical="center"/>
      <protection/>
    </xf>
    <xf numFmtId="0" fontId="0" fillId="0" borderId="18" xfId="0" applyFill="1" applyBorder="1" applyAlignment="1">
      <alignment/>
    </xf>
    <xf numFmtId="0" fontId="0" fillId="0" borderId="18" xfId="0" applyBorder="1" applyAlignment="1">
      <alignment/>
    </xf>
    <xf numFmtId="2" fontId="25" fillId="0" borderId="19" xfId="0" applyNumberFormat="1" applyFont="1" applyFill="1" applyBorder="1" applyAlignment="1">
      <alignment horizontal="center" vertical="center"/>
    </xf>
    <xf numFmtId="2" fontId="26" fillId="0" borderId="15" xfId="0" applyNumberFormat="1" applyFont="1" applyFill="1" applyBorder="1" applyAlignment="1">
      <alignment horizontal="center" vertical="center" wrapText="1"/>
    </xf>
    <xf numFmtId="2" fontId="26" fillId="0" borderId="18" xfId="0" applyNumberFormat="1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/>
    </xf>
    <xf numFmtId="0" fontId="33" fillId="5" borderId="10" xfId="0" applyFont="1" applyFill="1" applyBorder="1" applyAlignment="1">
      <alignment vertical="top" wrapText="1"/>
    </xf>
    <xf numFmtId="2" fontId="21" fillId="0" borderId="17" xfId="0" applyNumberFormat="1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vertical="top" wrapText="1"/>
    </xf>
    <xf numFmtId="2" fontId="21" fillId="0" borderId="10" xfId="0" applyNumberFormat="1" applyFont="1" applyFill="1" applyBorder="1" applyAlignment="1">
      <alignment horizontal="center" vertical="top" wrapText="1"/>
    </xf>
    <xf numFmtId="0" fontId="0" fillId="0" borderId="11" xfId="0" applyFont="1" applyBorder="1" applyAlignment="1">
      <alignment/>
    </xf>
    <xf numFmtId="2" fontId="21" fillId="0" borderId="12" xfId="0" applyNumberFormat="1" applyFont="1" applyFill="1" applyBorder="1" applyAlignment="1">
      <alignment horizontal="center" vertical="center" wrapText="1"/>
    </xf>
    <xf numFmtId="2" fontId="21" fillId="0" borderId="20" xfId="0" applyNumberFormat="1" applyFont="1" applyFill="1" applyBorder="1" applyAlignment="1">
      <alignment horizontal="center" vertical="center" wrapText="1"/>
    </xf>
    <xf numFmtId="164" fontId="25" fillId="0" borderId="10" xfId="0" applyNumberFormat="1" applyFont="1" applyFill="1" applyBorder="1" applyAlignment="1">
      <alignment horizontal="center" vertical="center"/>
    </xf>
    <xf numFmtId="2" fontId="25" fillId="0" borderId="12" xfId="0" applyNumberFormat="1" applyFont="1" applyFill="1" applyBorder="1" applyAlignment="1">
      <alignment horizontal="center" vertical="center"/>
    </xf>
    <xf numFmtId="2" fontId="25" fillId="24" borderId="1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2" fontId="0" fillId="0" borderId="0" xfId="0" applyNumberFormat="1" applyFont="1" applyFill="1" applyAlignment="1">
      <alignment horizontal="center" vertical="center"/>
    </xf>
    <xf numFmtId="2" fontId="32" fillId="0" borderId="0" xfId="0" applyNumberFormat="1" applyFont="1" applyFill="1" applyBorder="1" applyAlignment="1">
      <alignment horizontal="center" wrapText="1"/>
    </xf>
    <xf numFmtId="0" fontId="21" fillId="0" borderId="0" xfId="0" applyFont="1" applyFill="1" applyBorder="1" applyAlignment="1">
      <alignment horizontal="left"/>
    </xf>
    <xf numFmtId="2" fontId="30" fillId="0" borderId="0" xfId="0" applyNumberFormat="1" applyFont="1" applyFill="1" applyAlignment="1">
      <alignment/>
    </xf>
    <xf numFmtId="0" fontId="30" fillId="0" borderId="0" xfId="0" applyFont="1" applyFill="1" applyAlignment="1">
      <alignment horizontal="left"/>
    </xf>
    <xf numFmtId="2" fontId="30" fillId="0" borderId="0" xfId="0" applyNumberFormat="1" applyFont="1" applyFill="1" applyAlignment="1">
      <alignment horizontal="center" vertical="center"/>
    </xf>
    <xf numFmtId="0" fontId="0" fillId="0" borderId="0" xfId="0" applyFont="1" applyFill="1" applyBorder="1" applyAlignment="1">
      <alignment/>
    </xf>
    <xf numFmtId="2" fontId="25" fillId="0" borderId="19" xfId="52" applyNumberFormat="1" applyFont="1" applyFill="1" applyBorder="1" applyAlignment="1">
      <alignment horizontal="center" vertical="center"/>
      <protection/>
    </xf>
    <xf numFmtId="0" fontId="0" fillId="0" borderId="18" xfId="0" applyFont="1" applyFill="1" applyBorder="1" applyAlignment="1">
      <alignment/>
    </xf>
    <xf numFmtId="2" fontId="25" fillId="0" borderId="15" xfId="53" applyNumberFormat="1" applyFont="1" applyFill="1" applyBorder="1" applyAlignment="1">
      <alignment horizontal="center" vertical="center"/>
      <protection/>
    </xf>
    <xf numFmtId="2" fontId="25" fillId="0" borderId="17" xfId="0" applyNumberFormat="1" applyFont="1" applyFill="1" applyBorder="1" applyAlignment="1">
      <alignment horizontal="center" vertical="center" wrapText="1"/>
    </xf>
    <xf numFmtId="0" fontId="30" fillId="0" borderId="0" xfId="0" applyFont="1" applyFill="1" applyAlignment="1">
      <alignment/>
    </xf>
    <xf numFmtId="49" fontId="25" fillId="0" borderId="12" xfId="0" applyNumberFormat="1" applyFont="1" applyFill="1" applyBorder="1" applyAlignment="1">
      <alignment horizontal="center" vertical="center" wrapText="1"/>
    </xf>
    <xf numFmtId="2" fontId="25" fillId="0" borderId="15" xfId="52" applyNumberFormat="1" applyFont="1" applyFill="1" applyBorder="1" applyAlignment="1">
      <alignment horizontal="center" vertical="center"/>
      <protection/>
    </xf>
    <xf numFmtId="0" fontId="0" fillId="25" borderId="0" xfId="0" applyFill="1" applyAlignment="1">
      <alignment/>
    </xf>
    <xf numFmtId="0" fontId="0" fillId="25" borderId="0" xfId="0" applyFill="1" applyBorder="1" applyAlignment="1">
      <alignment/>
    </xf>
    <xf numFmtId="0" fontId="25" fillId="0" borderId="10" xfId="0" applyFont="1" applyFill="1" applyBorder="1" applyAlignment="1">
      <alignment horizontal="center" vertical="center"/>
    </xf>
    <xf numFmtId="2" fontId="25" fillId="0" borderId="0" xfId="0" applyNumberFormat="1" applyFont="1" applyFill="1" applyBorder="1" applyAlignment="1">
      <alignment horizontal="center" vertical="center" wrapText="1"/>
    </xf>
    <xf numFmtId="2" fontId="25" fillId="0" borderId="0" xfId="0" applyNumberFormat="1" applyFont="1" applyFill="1" applyBorder="1" applyAlignment="1">
      <alignment horizontal="center" vertical="center"/>
    </xf>
    <xf numFmtId="2" fontId="25" fillId="0" borderId="21" xfId="0" applyNumberFormat="1" applyFont="1" applyFill="1" applyBorder="1" applyAlignment="1">
      <alignment horizontal="center" vertical="center"/>
    </xf>
    <xf numFmtId="2" fontId="26" fillId="0" borderId="13" xfId="0" applyNumberFormat="1" applyFont="1" applyFill="1" applyBorder="1" applyAlignment="1">
      <alignment horizontal="center" vertical="center" wrapText="1"/>
    </xf>
    <xf numFmtId="2" fontId="25" fillId="0" borderId="13" xfId="52" applyNumberFormat="1" applyFont="1" applyFill="1" applyBorder="1" applyAlignment="1">
      <alignment horizontal="center" vertical="center"/>
      <protection/>
    </xf>
    <xf numFmtId="0" fontId="21" fillId="0" borderId="10" xfId="0" applyFont="1" applyFill="1" applyBorder="1" applyAlignment="1">
      <alignment vertical="center" wrapText="1"/>
    </xf>
    <xf numFmtId="2" fontId="25" fillId="26" borderId="16" xfId="0" applyNumberFormat="1" applyFont="1" applyFill="1" applyBorder="1" applyAlignment="1">
      <alignment horizontal="center" vertical="center" wrapText="1"/>
    </xf>
    <xf numFmtId="2" fontId="25" fillId="26" borderId="16" xfId="0" applyNumberFormat="1" applyFont="1" applyFill="1" applyBorder="1" applyAlignment="1">
      <alignment horizontal="center" vertical="center"/>
    </xf>
    <xf numFmtId="2" fontId="25" fillId="0" borderId="13" xfId="0" applyNumberFormat="1" applyFont="1" applyFill="1" applyBorder="1" applyAlignment="1">
      <alignment horizontal="center" vertical="center"/>
    </xf>
    <xf numFmtId="49" fontId="25" fillId="0" borderId="15" xfId="0" applyNumberFormat="1" applyFont="1" applyFill="1" applyBorder="1" applyAlignment="1">
      <alignment horizontal="center" vertical="center" wrapText="1"/>
    </xf>
    <xf numFmtId="2" fontId="26" fillId="0" borderId="16" xfId="0" applyNumberFormat="1" applyFont="1" applyFill="1" applyBorder="1" applyAlignment="1">
      <alignment horizontal="center" vertical="center" wrapText="1"/>
    </xf>
    <xf numFmtId="0" fontId="20" fillId="27" borderId="16" xfId="0" applyFont="1" applyFill="1" applyBorder="1" applyAlignment="1">
      <alignment horizontal="center"/>
    </xf>
    <xf numFmtId="0" fontId="20" fillId="27" borderId="10" xfId="0" applyFont="1" applyFill="1" applyBorder="1" applyAlignment="1">
      <alignment horizontal="center"/>
    </xf>
    <xf numFmtId="49" fontId="20" fillId="27" borderId="16" xfId="0" applyNumberFormat="1" applyFont="1" applyFill="1" applyBorder="1" applyAlignment="1">
      <alignment horizontal="center"/>
    </xf>
    <xf numFmtId="0" fontId="27" fillId="27" borderId="16" xfId="0" applyFont="1" applyFill="1" applyBorder="1" applyAlignment="1">
      <alignment horizontal="center" vertical="distributed"/>
    </xf>
    <xf numFmtId="49" fontId="20" fillId="27" borderId="10" xfId="0" applyNumberFormat="1" applyFont="1" applyFill="1" applyBorder="1" applyAlignment="1">
      <alignment horizontal="center"/>
    </xf>
    <xf numFmtId="0" fontId="20" fillId="27" borderId="10" xfId="0" applyFont="1" applyFill="1" applyBorder="1" applyAlignment="1">
      <alignment horizontal="center" vertical="center" wrapText="1"/>
    </xf>
    <xf numFmtId="0" fontId="20" fillId="28" borderId="10" xfId="0" applyFont="1" applyFill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0" fontId="21" fillId="0" borderId="13" xfId="0" applyFont="1" applyFill="1" applyBorder="1" applyAlignment="1">
      <alignment vertical="top" wrapText="1"/>
    </xf>
    <xf numFmtId="2" fontId="25" fillId="0" borderId="0" xfId="0" applyNumberFormat="1" applyFont="1" applyFill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15" xfId="0" applyFont="1" applyBorder="1" applyAlignment="1">
      <alignment horizontal="center" vertical="center"/>
    </xf>
    <xf numFmtId="0" fontId="20" fillId="27" borderId="10" xfId="0" applyFont="1" applyFill="1" applyBorder="1" applyAlignment="1">
      <alignment horizontal="center" wrapText="1"/>
    </xf>
    <xf numFmtId="49" fontId="21" fillId="0" borderId="22" xfId="0" applyNumberFormat="1" applyFont="1" applyFill="1" applyBorder="1" applyAlignment="1">
      <alignment vertical="top" wrapText="1"/>
    </xf>
    <xf numFmtId="2" fontId="25" fillId="0" borderId="19" xfId="0" applyNumberFormat="1" applyFont="1" applyFill="1" applyBorder="1" applyAlignment="1">
      <alignment horizontal="center" vertical="center" wrapText="1"/>
    </xf>
    <xf numFmtId="2" fontId="25" fillId="25" borderId="10" xfId="0" applyNumberFormat="1" applyFont="1" applyFill="1" applyBorder="1" applyAlignment="1">
      <alignment horizontal="center" vertical="center" wrapText="1"/>
    </xf>
    <xf numFmtId="2" fontId="25" fillId="25" borderId="10" xfId="52" applyNumberFormat="1" applyFont="1" applyFill="1" applyBorder="1" applyAlignment="1">
      <alignment horizontal="center" vertical="center"/>
      <protection/>
    </xf>
    <xf numFmtId="0" fontId="20" fillId="27" borderId="16" xfId="0" applyFont="1" applyFill="1" applyBorder="1" applyAlignment="1">
      <alignment horizontal="center" vertical="center" wrapText="1"/>
    </xf>
    <xf numFmtId="2" fontId="25" fillId="24" borderId="16" xfId="0" applyNumberFormat="1" applyFont="1" applyFill="1" applyBorder="1" applyAlignment="1">
      <alignment horizontal="center" vertical="center"/>
    </xf>
    <xf numFmtId="2" fontId="25" fillId="0" borderId="23" xfId="0" applyNumberFormat="1" applyFont="1" applyFill="1" applyBorder="1" applyAlignment="1">
      <alignment horizontal="center" vertical="center" wrapText="1"/>
    </xf>
    <xf numFmtId="49" fontId="20" fillId="0" borderId="16" xfId="0" applyNumberFormat="1" applyFont="1" applyFill="1" applyBorder="1" applyAlignment="1">
      <alignment horizontal="center"/>
    </xf>
    <xf numFmtId="2" fontId="25" fillId="0" borderId="24" xfId="0" applyNumberFormat="1" applyFont="1" applyFill="1" applyBorder="1" applyAlignment="1">
      <alignment horizontal="center" vertical="center" wrapText="1"/>
    </xf>
    <xf numFmtId="2" fontId="25" fillId="0" borderId="10" xfId="53" applyNumberFormat="1" applyFont="1" applyBorder="1" applyAlignment="1">
      <alignment horizontal="center" vertical="center"/>
      <protection/>
    </xf>
    <xf numFmtId="49" fontId="20" fillId="28" borderId="16" xfId="0" applyNumberFormat="1" applyFont="1" applyFill="1" applyBorder="1" applyAlignment="1">
      <alignment horizontal="center"/>
    </xf>
    <xf numFmtId="2" fontId="21" fillId="0" borderId="15" xfId="0" applyNumberFormat="1" applyFont="1" applyBorder="1" applyAlignment="1">
      <alignment horizontal="center"/>
    </xf>
    <xf numFmtId="0" fontId="21" fillId="0" borderId="10" xfId="0" applyFont="1" applyFill="1" applyBorder="1" applyAlignment="1">
      <alignment horizontal="left"/>
    </xf>
    <xf numFmtId="2" fontId="21" fillId="0" borderId="10" xfId="0" applyNumberFormat="1" applyFont="1" applyFill="1" applyBorder="1" applyAlignment="1">
      <alignment horizontal="center" vertical="center"/>
    </xf>
    <xf numFmtId="2" fontId="21" fillId="0" borderId="10" xfId="0" applyNumberFormat="1" applyFont="1" applyBorder="1" applyAlignment="1">
      <alignment horizontal="center"/>
    </xf>
    <xf numFmtId="0" fontId="21" fillId="0" borderId="10" xfId="0" applyFont="1" applyFill="1" applyBorder="1" applyAlignment="1">
      <alignment horizontal="left" vertical="center"/>
    </xf>
    <xf numFmtId="2" fontId="21" fillId="0" borderId="10" xfId="0" applyNumberFormat="1" applyFont="1" applyBorder="1" applyAlignment="1">
      <alignment horizontal="center" vertical="center"/>
    </xf>
    <xf numFmtId="2" fontId="21" fillId="0" borderId="15" xfId="0" applyNumberFormat="1" applyFont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top" wrapText="1"/>
    </xf>
    <xf numFmtId="2" fontId="21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2" fillId="0" borderId="0" xfId="0" applyFont="1" applyAlignment="1">
      <alignment horizontal="center"/>
    </xf>
    <xf numFmtId="0" fontId="21" fillId="0" borderId="10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/>
    </xf>
    <xf numFmtId="0" fontId="21" fillId="0" borderId="17" xfId="0" applyFont="1" applyBorder="1" applyAlignment="1">
      <alignment horizontal="center"/>
    </xf>
    <xf numFmtId="0" fontId="32" fillId="0" borderId="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Обычный_Лист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361950</xdr:colOff>
      <xdr:row>168</xdr:row>
      <xdr:rowOff>66675</xdr:rowOff>
    </xdr:from>
    <xdr:to>
      <xdr:col>8</xdr:col>
      <xdr:colOff>57150</xdr:colOff>
      <xdr:row>176</xdr:row>
      <xdr:rowOff>133350</xdr:rowOff>
    </xdr:to>
    <xdr:pic>
      <xdr:nvPicPr>
        <xdr:cNvPr id="1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81450" y="35213925"/>
          <a:ext cx="1809750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333375</xdr:colOff>
      <xdr:row>171</xdr:row>
      <xdr:rowOff>171450</xdr:rowOff>
    </xdr:from>
    <xdr:to>
      <xdr:col>6</xdr:col>
      <xdr:colOff>352425</xdr:colOff>
      <xdr:row>173</xdr:row>
      <xdr:rowOff>142875</xdr:rowOff>
    </xdr:to>
    <xdr:pic>
      <xdr:nvPicPr>
        <xdr:cNvPr id="2" name="Picture 90"/>
        <xdr:cNvPicPr preferRelativeResize="1">
          <a:picLocks noChangeAspect="1"/>
        </xdr:cNvPicPr>
      </xdr:nvPicPr>
      <xdr:blipFill>
        <a:blip r:embed="rId2"/>
        <a:srcRect t="45860" b="30572"/>
        <a:stretch>
          <a:fillRect/>
        </a:stretch>
      </xdr:blipFill>
      <xdr:spPr>
        <a:xfrm>
          <a:off x="3952875" y="35890200"/>
          <a:ext cx="11049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200025</xdr:colOff>
      <xdr:row>3</xdr:row>
      <xdr:rowOff>19050</xdr:rowOff>
    </xdr:from>
    <xdr:to>
      <xdr:col>13</xdr:col>
      <xdr:colOff>466725</xdr:colOff>
      <xdr:row>4</xdr:row>
      <xdr:rowOff>76200</xdr:rowOff>
    </xdr:to>
    <xdr:pic>
      <xdr:nvPicPr>
        <xdr:cNvPr id="3" name="Picture 9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91475" y="590550"/>
          <a:ext cx="8572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84"/>
  <sheetViews>
    <sheetView tabSelected="1" zoomScalePageLayoutView="0" workbookViewId="0" topLeftCell="A1">
      <selection activeCell="AC12" sqref="AC12"/>
    </sheetView>
  </sheetViews>
  <sheetFormatPr defaultColWidth="9.00390625" defaultRowHeight="12.75"/>
  <cols>
    <col min="1" max="1" width="6.75390625" style="1" customWidth="1"/>
    <col min="2" max="2" width="26.75390625" style="2" customWidth="1"/>
    <col min="3" max="3" width="7.25390625" style="2" customWidth="1"/>
    <col min="4" max="4" width="6.75390625" style="2" customWidth="1"/>
    <col min="5" max="5" width="7.00390625" style="3" customWidth="1"/>
    <col min="6" max="6" width="7.25390625" style="3" customWidth="1"/>
    <col min="7" max="12" width="6.75390625" style="2" customWidth="1"/>
    <col min="13" max="14" width="7.75390625" style="2" customWidth="1"/>
    <col min="15" max="18" width="5.625" style="0" hidden="1" customWidth="1"/>
    <col min="19" max="20" width="6.75390625" style="0" customWidth="1"/>
    <col min="21" max="23" width="5.625" style="0" hidden="1" customWidth="1"/>
    <col min="24" max="24" width="5.375" style="0" hidden="1" customWidth="1"/>
    <col min="25" max="25" width="6.75390625" style="0" hidden="1" customWidth="1"/>
    <col min="26" max="26" width="6.25390625" style="0" hidden="1" customWidth="1"/>
    <col min="27" max="27" width="6.875" style="0" hidden="1" customWidth="1"/>
    <col min="28" max="28" width="6.25390625" style="0" hidden="1" customWidth="1"/>
  </cols>
  <sheetData>
    <row r="1" spans="1:23" s="68" customFormat="1" ht="15" customHeight="1">
      <c r="A1" s="1"/>
      <c r="B1" s="2"/>
      <c r="C1" s="2"/>
      <c r="D1" s="2"/>
      <c r="E1" s="3"/>
      <c r="F1" s="3"/>
      <c r="G1" s="2"/>
      <c r="H1" s="4"/>
      <c r="I1" s="7"/>
      <c r="J1" s="7"/>
      <c r="K1" s="7"/>
      <c r="L1" s="8"/>
      <c r="M1" s="8" t="s">
        <v>71</v>
      </c>
      <c r="N1" s="8"/>
      <c r="O1" s="70"/>
      <c r="P1" s="4"/>
      <c r="Q1"/>
      <c r="R1" s="8"/>
      <c r="S1" s="8"/>
      <c r="T1" s="8"/>
      <c r="U1" s="8"/>
      <c r="V1" s="5"/>
      <c r="W1" s="2"/>
    </row>
    <row r="2" spans="1:22" s="68" customFormat="1" ht="15" customHeight="1">
      <c r="A2" s="6" t="s">
        <v>68</v>
      </c>
      <c r="B2" s="2"/>
      <c r="C2" s="2"/>
      <c r="D2" s="2"/>
      <c r="E2" s="3"/>
      <c r="F2" s="3"/>
      <c r="G2" s="2"/>
      <c r="H2" s="8"/>
      <c r="I2" s="8"/>
      <c r="J2" s="70"/>
      <c r="K2" s="4"/>
      <c r="L2" s="8"/>
      <c r="M2" s="8" t="s">
        <v>72</v>
      </c>
      <c r="N2" s="8"/>
      <c r="O2" s="70"/>
      <c r="P2" s="8"/>
      <c r="Q2"/>
      <c r="R2" s="8"/>
      <c r="S2" s="8"/>
      <c r="T2" s="8"/>
      <c r="U2" s="4"/>
      <c r="V2" s="8"/>
    </row>
    <row r="3" spans="1:22" s="68" customFormat="1" ht="15" customHeight="1">
      <c r="A3" s="6" t="s">
        <v>75</v>
      </c>
      <c r="B3" s="2"/>
      <c r="C3" s="2"/>
      <c r="D3" s="2"/>
      <c r="E3" s="3"/>
      <c r="F3" s="3"/>
      <c r="G3" s="2"/>
      <c r="H3" s="8"/>
      <c r="I3" s="8"/>
      <c r="J3" s="70"/>
      <c r="K3" s="8"/>
      <c r="L3" s="8"/>
      <c r="M3" s="11" t="s">
        <v>73</v>
      </c>
      <c r="N3" s="8"/>
      <c r="O3" s="70"/>
      <c r="P3" s="4"/>
      <c r="Q3"/>
      <c r="R3" s="11"/>
      <c r="S3" s="8"/>
      <c r="T3" s="8"/>
      <c r="U3" s="8"/>
      <c r="V3" s="8"/>
    </row>
    <row r="4" spans="1:22" s="68" customFormat="1" ht="15" customHeight="1">
      <c r="A4" s="6" t="s">
        <v>133</v>
      </c>
      <c r="B4" s="2"/>
      <c r="C4" s="2"/>
      <c r="D4" s="2"/>
      <c r="E4" s="3"/>
      <c r="F4" s="3"/>
      <c r="G4" s="2"/>
      <c r="H4" s="11"/>
      <c r="I4" s="8"/>
      <c r="J4" s="70"/>
      <c r="K4" s="4"/>
      <c r="L4" s="8"/>
      <c r="M4" s="163"/>
      <c r="N4" s="163"/>
      <c r="O4" s="8"/>
      <c r="P4" s="8"/>
      <c r="Q4"/>
      <c r="R4" s="8"/>
      <c r="S4" s="8" t="s">
        <v>134</v>
      </c>
      <c r="T4" s="8"/>
      <c r="U4" s="4"/>
      <c r="V4" s="8"/>
    </row>
    <row r="5" spans="1:22" s="68" customFormat="1" ht="15" customHeight="1">
      <c r="A5" s="6" t="s">
        <v>76</v>
      </c>
      <c r="B5" s="2"/>
      <c r="C5" s="2"/>
      <c r="D5" s="2"/>
      <c r="E5" s="3"/>
      <c r="F5" s="3"/>
      <c r="G5" s="2"/>
      <c r="H5" s="8"/>
      <c r="I5" s="8"/>
      <c r="J5" s="8"/>
      <c r="K5" s="8"/>
      <c r="L5" s="8"/>
      <c r="M5" s="47"/>
      <c r="N5" s="47"/>
      <c r="O5" s="71"/>
      <c r="P5" s="71"/>
      <c r="Q5" s="71"/>
      <c r="R5" s="71"/>
      <c r="S5" s="71"/>
      <c r="T5" s="71"/>
      <c r="U5" s="8"/>
      <c r="V5" s="8"/>
    </row>
    <row r="6" spans="1:20" s="68" customFormat="1" ht="15" customHeight="1">
      <c r="A6" s="6" t="s">
        <v>77</v>
      </c>
      <c r="B6" s="2"/>
      <c r="C6" s="2"/>
      <c r="D6" s="2"/>
      <c r="E6" s="3"/>
      <c r="F6" s="3"/>
      <c r="G6" s="2"/>
      <c r="H6" s="9"/>
      <c r="I6" s="10"/>
      <c r="J6" s="2"/>
      <c r="K6" s="2"/>
      <c r="L6" s="2"/>
      <c r="M6" s="47"/>
      <c r="N6" s="71"/>
      <c r="O6" s="71"/>
      <c r="P6" s="71"/>
      <c r="Q6" s="71"/>
      <c r="R6" s="71"/>
      <c r="S6" s="71"/>
      <c r="T6" s="71"/>
    </row>
    <row r="7" spans="1:17" s="68" customFormat="1" ht="15" customHeight="1">
      <c r="A7" s="1"/>
      <c r="B7" s="2"/>
      <c r="C7" s="2"/>
      <c r="D7" s="2"/>
      <c r="E7" s="3"/>
      <c r="F7" s="3"/>
      <c r="G7" s="2"/>
      <c r="H7" s="87"/>
      <c r="I7" s="87"/>
      <c r="J7" s="87"/>
      <c r="K7" s="87"/>
      <c r="L7" s="87"/>
      <c r="M7" s="87" t="s">
        <v>0</v>
      </c>
      <c r="N7" s="87"/>
      <c r="Q7" s="87"/>
    </row>
    <row r="8" spans="1:24" s="68" customFormat="1" ht="15" customHeight="1">
      <c r="A8" s="168" t="s">
        <v>181</v>
      </c>
      <c r="B8" s="168"/>
      <c r="C8" s="168"/>
      <c r="D8" s="168"/>
      <c r="E8" s="168"/>
      <c r="F8" s="168"/>
      <c r="G8" s="168"/>
      <c r="H8" s="168"/>
      <c r="I8" s="168"/>
      <c r="J8" s="168"/>
      <c r="K8" s="168"/>
      <c r="L8" s="168"/>
      <c r="M8" s="168"/>
      <c r="N8" s="168"/>
      <c r="O8" s="168"/>
      <c r="P8" s="168"/>
      <c r="Q8" s="168"/>
      <c r="R8" s="168"/>
      <c r="S8" s="168"/>
      <c r="T8" s="168"/>
      <c r="U8" s="168"/>
      <c r="V8" s="168"/>
      <c r="W8" s="168"/>
      <c r="X8" s="168"/>
    </row>
    <row r="9" spans="1:14" s="68" customFormat="1" ht="7.5" customHeight="1">
      <c r="A9" s="1"/>
      <c r="B9" s="4"/>
      <c r="C9" s="2"/>
      <c r="D9" s="2"/>
      <c r="E9" s="3"/>
      <c r="F9" s="3"/>
      <c r="G9" s="2"/>
      <c r="H9" s="2"/>
      <c r="I9" s="2"/>
      <c r="J9" s="2"/>
      <c r="K9" s="2"/>
      <c r="L9" s="2"/>
      <c r="M9" s="2"/>
      <c r="N9" s="2"/>
    </row>
    <row r="10" spans="1:32" s="68" customFormat="1" ht="24.75" customHeight="1">
      <c r="A10" s="162" t="s">
        <v>1</v>
      </c>
      <c r="B10" s="160" t="s">
        <v>2</v>
      </c>
      <c r="C10" s="159" t="s">
        <v>3</v>
      </c>
      <c r="D10" s="159"/>
      <c r="E10" s="161" t="s">
        <v>4</v>
      </c>
      <c r="F10" s="161"/>
      <c r="G10" s="161" t="s">
        <v>5</v>
      </c>
      <c r="H10" s="161"/>
      <c r="I10" s="161"/>
      <c r="J10" s="161"/>
      <c r="K10" s="161"/>
      <c r="L10" s="161"/>
      <c r="M10" s="159" t="s">
        <v>6</v>
      </c>
      <c r="N10" s="159"/>
      <c r="O10" s="162" t="s">
        <v>7</v>
      </c>
      <c r="P10" s="162"/>
      <c r="Q10" s="162"/>
      <c r="R10" s="162"/>
      <c r="S10" s="162"/>
      <c r="T10" s="162"/>
      <c r="U10" s="164" t="s">
        <v>8</v>
      </c>
      <c r="V10" s="164"/>
      <c r="W10" s="164"/>
      <c r="X10" s="165"/>
      <c r="Y10" s="67"/>
      <c r="Z10" s="67"/>
      <c r="AA10" s="67"/>
      <c r="AB10" s="67"/>
      <c r="AC10" s="67"/>
      <c r="AD10" s="67"/>
      <c r="AE10" s="67"/>
      <c r="AF10" s="67"/>
    </row>
    <row r="11" spans="1:32" s="68" customFormat="1" ht="15" customHeight="1">
      <c r="A11" s="162"/>
      <c r="B11" s="160"/>
      <c r="C11" s="159"/>
      <c r="D11" s="159"/>
      <c r="E11" s="161"/>
      <c r="F11" s="161"/>
      <c r="G11" s="153" t="s">
        <v>9</v>
      </c>
      <c r="H11" s="153"/>
      <c r="I11" s="153" t="s">
        <v>10</v>
      </c>
      <c r="J11" s="153"/>
      <c r="K11" s="153" t="s">
        <v>11</v>
      </c>
      <c r="L11" s="153"/>
      <c r="M11" s="159"/>
      <c r="N11" s="159"/>
      <c r="O11" s="166" t="s">
        <v>70</v>
      </c>
      <c r="P11" s="166"/>
      <c r="Q11" s="166" t="s">
        <v>56</v>
      </c>
      <c r="R11" s="166"/>
      <c r="S11" s="166" t="s">
        <v>12</v>
      </c>
      <c r="T11" s="166"/>
      <c r="U11" s="166" t="s">
        <v>13</v>
      </c>
      <c r="V11" s="166"/>
      <c r="W11" s="166" t="s">
        <v>14</v>
      </c>
      <c r="X11" s="167"/>
      <c r="Y11" s="67"/>
      <c r="Z11" s="98"/>
      <c r="AA11" s="98"/>
      <c r="AB11" s="98"/>
      <c r="AC11" s="67"/>
      <c r="AD11" s="67"/>
      <c r="AE11" s="67"/>
      <c r="AF11" s="67"/>
    </row>
    <row r="12" spans="1:32" s="68" customFormat="1" ht="15" customHeight="1">
      <c r="A12" s="12" t="s">
        <v>1</v>
      </c>
      <c r="B12" s="88" t="s">
        <v>182</v>
      </c>
      <c r="C12" s="40" t="s">
        <v>15</v>
      </c>
      <c r="D12" s="40" t="s">
        <v>16</v>
      </c>
      <c r="E12" s="40" t="s">
        <v>15</v>
      </c>
      <c r="F12" s="40" t="s">
        <v>16</v>
      </c>
      <c r="G12" s="40" t="s">
        <v>15</v>
      </c>
      <c r="H12" s="40" t="s">
        <v>16</v>
      </c>
      <c r="I12" s="40" t="s">
        <v>15</v>
      </c>
      <c r="J12" s="40" t="s">
        <v>16</v>
      </c>
      <c r="K12" s="40" t="s">
        <v>15</v>
      </c>
      <c r="L12" s="40" t="s">
        <v>16</v>
      </c>
      <c r="M12" s="40" t="s">
        <v>15</v>
      </c>
      <c r="N12" s="40" t="s">
        <v>16</v>
      </c>
      <c r="O12" s="40" t="s">
        <v>15</v>
      </c>
      <c r="P12" s="40" t="s">
        <v>16</v>
      </c>
      <c r="Q12" s="40" t="s">
        <v>15</v>
      </c>
      <c r="R12" s="40" t="s">
        <v>16</v>
      </c>
      <c r="S12" s="40" t="s">
        <v>15</v>
      </c>
      <c r="T12" s="40" t="s">
        <v>16</v>
      </c>
      <c r="U12" s="40" t="s">
        <v>15</v>
      </c>
      <c r="V12" s="40" t="s">
        <v>16</v>
      </c>
      <c r="W12" s="40" t="s">
        <v>15</v>
      </c>
      <c r="X12" s="89" t="s">
        <v>16</v>
      </c>
      <c r="Y12" s="67"/>
      <c r="Z12" s="98"/>
      <c r="AA12" s="98"/>
      <c r="AB12" s="98"/>
      <c r="AC12" s="67"/>
      <c r="AD12" s="67"/>
      <c r="AE12" s="67"/>
      <c r="AF12" s="67"/>
    </row>
    <row r="13" spans="1:32" ht="15" customHeight="1">
      <c r="A13" s="12"/>
      <c r="B13" s="90" t="s">
        <v>17</v>
      </c>
      <c r="C13" s="91"/>
      <c r="D13" s="91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4"/>
      <c r="P13" s="15"/>
      <c r="Q13" s="15"/>
      <c r="R13" s="15"/>
      <c r="S13" s="15"/>
      <c r="T13" s="15"/>
      <c r="U13" s="15"/>
      <c r="V13" s="15"/>
      <c r="W13" s="15"/>
      <c r="X13" s="76"/>
      <c r="Y13" s="22"/>
      <c r="Z13" s="37"/>
      <c r="AA13" s="37"/>
      <c r="AB13" s="37"/>
      <c r="AC13" s="22"/>
      <c r="AD13" s="22"/>
      <c r="AE13" s="22"/>
      <c r="AF13" s="22"/>
    </row>
    <row r="14" spans="1:30" s="31" customFormat="1" ht="15" customHeight="1">
      <c r="A14" s="127" t="s">
        <v>38</v>
      </c>
      <c r="B14" s="59" t="s">
        <v>39</v>
      </c>
      <c r="C14" s="60" t="s">
        <v>93</v>
      </c>
      <c r="D14" s="60" t="s">
        <v>93</v>
      </c>
      <c r="E14" s="61">
        <v>4.03</v>
      </c>
      <c r="F14" s="61">
        <v>4.03</v>
      </c>
      <c r="G14" s="61">
        <v>1.63</v>
      </c>
      <c r="H14" s="62">
        <v>1.63</v>
      </c>
      <c r="I14" s="62">
        <v>4.7</v>
      </c>
      <c r="J14" s="62">
        <v>4.7</v>
      </c>
      <c r="K14" s="62">
        <v>10.4</v>
      </c>
      <c r="L14" s="62">
        <v>10.4</v>
      </c>
      <c r="M14" s="62">
        <v>90.42</v>
      </c>
      <c r="N14" s="62">
        <v>90.42</v>
      </c>
      <c r="O14" s="63">
        <v>0.08</v>
      </c>
      <c r="P14" s="69">
        <v>0.05</v>
      </c>
      <c r="Q14" s="63">
        <v>0.04</v>
      </c>
      <c r="R14" s="69">
        <v>0.02</v>
      </c>
      <c r="S14" s="63">
        <v>0</v>
      </c>
      <c r="T14" s="62">
        <f>S14*25/45</f>
        <v>0</v>
      </c>
      <c r="U14" s="65">
        <v>13.6</v>
      </c>
      <c r="V14" s="66">
        <v>8.6</v>
      </c>
      <c r="W14" s="65">
        <v>0.81</v>
      </c>
      <c r="X14" s="66">
        <v>0.49</v>
      </c>
      <c r="Y14" s="30"/>
      <c r="Z14" s="30"/>
      <c r="AA14" s="30"/>
      <c r="AB14" s="30"/>
      <c r="AC14" s="30"/>
      <c r="AD14" s="30"/>
    </row>
    <row r="15" spans="1:29" ht="15" customHeight="1">
      <c r="A15" s="127" t="s">
        <v>18</v>
      </c>
      <c r="B15" s="59" t="s">
        <v>83</v>
      </c>
      <c r="C15" s="60" t="s">
        <v>21</v>
      </c>
      <c r="D15" s="60" t="s">
        <v>22</v>
      </c>
      <c r="E15" s="61">
        <v>4.4</v>
      </c>
      <c r="F15" s="61">
        <v>3.3</v>
      </c>
      <c r="G15" s="61">
        <v>5.26</v>
      </c>
      <c r="H15" s="61">
        <v>3.95</v>
      </c>
      <c r="I15" s="61">
        <v>5.26</v>
      </c>
      <c r="J15" s="62">
        <v>3.95</v>
      </c>
      <c r="K15" s="61">
        <v>32.32</v>
      </c>
      <c r="L15" s="62">
        <v>24.24</v>
      </c>
      <c r="M15" s="61">
        <v>197.6</v>
      </c>
      <c r="N15" s="62">
        <v>148.3</v>
      </c>
      <c r="O15" s="61">
        <f>P15*200/150</f>
        <v>0.12</v>
      </c>
      <c r="P15" s="63">
        <v>0.09</v>
      </c>
      <c r="Q15" s="61">
        <f>R15*200/150</f>
        <v>0.04</v>
      </c>
      <c r="R15" s="63">
        <v>0.03</v>
      </c>
      <c r="S15" s="63">
        <v>0</v>
      </c>
      <c r="T15" s="63">
        <v>0</v>
      </c>
      <c r="U15" s="61">
        <f>V15*200/150</f>
        <v>1.5466666666666664</v>
      </c>
      <c r="V15" s="63">
        <v>1.16</v>
      </c>
      <c r="W15" s="61">
        <f>X15*200/150</f>
        <v>0.72</v>
      </c>
      <c r="X15" s="106">
        <v>0.54</v>
      </c>
      <c r="Y15" s="83"/>
      <c r="Z15" s="22"/>
      <c r="AA15" s="22"/>
      <c r="AB15" s="22"/>
      <c r="AC15" s="22"/>
    </row>
    <row r="16" spans="1:31" ht="15" customHeight="1">
      <c r="A16" s="127" t="s">
        <v>19</v>
      </c>
      <c r="B16" s="59" t="s">
        <v>20</v>
      </c>
      <c r="C16" s="60" t="s">
        <v>21</v>
      </c>
      <c r="D16" s="60" t="s">
        <v>22</v>
      </c>
      <c r="E16" s="61">
        <v>1.58</v>
      </c>
      <c r="F16" s="61">
        <v>1.18</v>
      </c>
      <c r="G16" s="63">
        <v>0</v>
      </c>
      <c r="H16" s="69">
        <v>0</v>
      </c>
      <c r="I16" s="63">
        <v>0</v>
      </c>
      <c r="J16" s="69">
        <f>I16*150/200</f>
        <v>0</v>
      </c>
      <c r="K16" s="63">
        <v>30.6</v>
      </c>
      <c r="L16" s="69">
        <f>K16*150/200</f>
        <v>22.95</v>
      </c>
      <c r="M16" s="63">
        <v>118</v>
      </c>
      <c r="N16" s="69">
        <v>88.5</v>
      </c>
      <c r="O16" s="65">
        <v>0</v>
      </c>
      <c r="P16" s="69">
        <f>O16*150/200</f>
        <v>0</v>
      </c>
      <c r="Q16" s="65">
        <v>0</v>
      </c>
      <c r="R16" s="69">
        <f>Q16*150/200</f>
        <v>0</v>
      </c>
      <c r="S16" s="65">
        <v>0</v>
      </c>
      <c r="T16" s="69">
        <f>S16*150/200</f>
        <v>0</v>
      </c>
      <c r="U16" s="65">
        <v>0.2</v>
      </c>
      <c r="V16" s="69">
        <f>U16*150/200</f>
        <v>0.15</v>
      </c>
      <c r="W16" s="65">
        <v>0.03</v>
      </c>
      <c r="X16" s="69">
        <f>W16*150/200</f>
        <v>0.0225</v>
      </c>
      <c r="Y16" s="22"/>
      <c r="Z16" s="22"/>
      <c r="AA16" s="22"/>
      <c r="AB16" s="22"/>
      <c r="AC16" s="22"/>
      <c r="AD16" s="22"/>
      <c r="AE16" s="22"/>
    </row>
    <row r="17" spans="1:32" ht="15" customHeight="1">
      <c r="A17" s="16"/>
      <c r="B17" s="17" t="s">
        <v>23</v>
      </c>
      <c r="C17" s="18"/>
      <c r="D17" s="18"/>
      <c r="E17" s="28">
        <f>SUM(E14:E16)</f>
        <v>10.01</v>
      </c>
      <c r="F17" s="28">
        <f>SUM(F14:F16)</f>
        <v>8.51</v>
      </c>
      <c r="G17" s="28">
        <f aca="true" t="shared" si="0" ref="G17:T17">SUM(G14:G16)</f>
        <v>6.89</v>
      </c>
      <c r="H17" s="28">
        <f t="shared" si="0"/>
        <v>5.58</v>
      </c>
      <c r="I17" s="28">
        <f t="shared" si="0"/>
        <v>9.96</v>
      </c>
      <c r="J17" s="28">
        <f t="shared" si="0"/>
        <v>8.65</v>
      </c>
      <c r="K17" s="28">
        <f t="shared" si="0"/>
        <v>73.32</v>
      </c>
      <c r="L17" s="28">
        <f t="shared" si="0"/>
        <v>57.59</v>
      </c>
      <c r="M17" s="28">
        <f t="shared" si="0"/>
        <v>406.02</v>
      </c>
      <c r="N17" s="28">
        <f t="shared" si="0"/>
        <v>327.22</v>
      </c>
      <c r="O17" s="28">
        <f t="shared" si="0"/>
        <v>0.2</v>
      </c>
      <c r="P17" s="28">
        <f t="shared" si="0"/>
        <v>0.14</v>
      </c>
      <c r="Q17" s="28">
        <f t="shared" si="0"/>
        <v>0.08</v>
      </c>
      <c r="R17" s="28">
        <f t="shared" si="0"/>
        <v>0.05</v>
      </c>
      <c r="S17" s="28">
        <f t="shared" si="0"/>
        <v>0</v>
      </c>
      <c r="T17" s="28">
        <f t="shared" si="0"/>
        <v>0</v>
      </c>
      <c r="U17" s="28">
        <f>SUM(U14:U16)</f>
        <v>15.346666666666666</v>
      </c>
      <c r="V17" s="28">
        <f>SUM(V14:V16)</f>
        <v>9.91</v>
      </c>
      <c r="W17" s="28">
        <f>SUM(W14:W16)</f>
        <v>1.56</v>
      </c>
      <c r="X17" s="78">
        <f>SUM(X14:X16)</f>
        <v>1.0525</v>
      </c>
      <c r="Y17" s="75"/>
      <c r="Z17" s="75"/>
      <c r="AA17" s="75"/>
      <c r="AB17" s="75"/>
      <c r="AC17" s="75"/>
      <c r="AD17" s="75"/>
      <c r="AE17" s="75"/>
      <c r="AF17" s="22"/>
    </row>
    <row r="18" spans="1:32" ht="15" customHeight="1">
      <c r="A18" s="16"/>
      <c r="B18" s="90" t="s">
        <v>24</v>
      </c>
      <c r="C18" s="18"/>
      <c r="D18" s="18"/>
      <c r="E18" s="19"/>
      <c r="F18" s="19"/>
      <c r="G18" s="19"/>
      <c r="H18" s="20"/>
      <c r="I18" s="20"/>
      <c r="J18" s="20"/>
      <c r="K18" s="20"/>
      <c r="L18" s="20"/>
      <c r="M18" s="20"/>
      <c r="N18" s="20"/>
      <c r="O18" s="29"/>
      <c r="P18" s="29"/>
      <c r="Q18" s="29"/>
      <c r="R18" s="29"/>
      <c r="S18" s="29"/>
      <c r="T18" s="29"/>
      <c r="U18" s="29"/>
      <c r="V18" s="29"/>
      <c r="W18" s="29"/>
      <c r="X18" s="79"/>
      <c r="Y18" s="22"/>
      <c r="Z18" s="37"/>
      <c r="AA18" s="37"/>
      <c r="AB18" s="37"/>
      <c r="AC18" s="22"/>
      <c r="AD18" s="22"/>
      <c r="AE18" s="22"/>
      <c r="AF18" s="22"/>
    </row>
    <row r="19" spans="1:31" s="32" customFormat="1" ht="15" customHeight="1">
      <c r="A19" s="128" t="s">
        <v>25</v>
      </c>
      <c r="B19" s="17" t="s">
        <v>63</v>
      </c>
      <c r="C19" s="18" t="s">
        <v>141</v>
      </c>
      <c r="D19" s="18" t="s">
        <v>141</v>
      </c>
      <c r="E19" s="19">
        <v>4.59</v>
      </c>
      <c r="F19" s="19">
        <v>4.59</v>
      </c>
      <c r="G19" s="25">
        <v>0</v>
      </c>
      <c r="H19" s="26">
        <v>0</v>
      </c>
      <c r="I19" s="25">
        <f>J19*180/150</f>
        <v>0</v>
      </c>
      <c r="J19" s="26">
        <v>0</v>
      </c>
      <c r="K19" s="25">
        <v>10.2</v>
      </c>
      <c r="L19" s="26">
        <v>10.2</v>
      </c>
      <c r="M19" s="25">
        <v>40.8</v>
      </c>
      <c r="N19" s="26">
        <v>40.8</v>
      </c>
      <c r="O19" s="25">
        <f>P19*180/150</f>
        <v>0</v>
      </c>
      <c r="P19" s="26">
        <v>0</v>
      </c>
      <c r="Q19" s="25">
        <f>R19*180/150</f>
        <v>0.024</v>
      </c>
      <c r="R19" s="26">
        <v>0.02</v>
      </c>
      <c r="S19" s="25">
        <v>3.4</v>
      </c>
      <c r="T19" s="26">
        <v>3.4</v>
      </c>
      <c r="U19" s="25">
        <f>V19*180/150</f>
        <v>9.996</v>
      </c>
      <c r="V19" s="26">
        <v>8.33</v>
      </c>
      <c r="W19" s="25">
        <f>X19*180/150</f>
        <v>0.252</v>
      </c>
      <c r="X19" s="81">
        <v>0.21</v>
      </c>
      <c r="Y19" s="37"/>
      <c r="Z19" s="37"/>
      <c r="AA19" s="37"/>
      <c r="AB19" s="37"/>
      <c r="AC19" s="37"/>
      <c r="AD19" s="37"/>
      <c r="AE19" s="37"/>
    </row>
    <row r="20" spans="1:32" ht="15" customHeight="1">
      <c r="A20" s="16"/>
      <c r="B20" s="17" t="s">
        <v>23</v>
      </c>
      <c r="C20" s="18"/>
      <c r="D20" s="18"/>
      <c r="E20" s="28">
        <f>SUM(E19)</f>
        <v>4.59</v>
      </c>
      <c r="F20" s="28">
        <f>SUM(F19)</f>
        <v>4.59</v>
      </c>
      <c r="G20" s="28">
        <f aca="true" t="shared" si="1" ref="G20:T20">SUM(G19)</f>
        <v>0</v>
      </c>
      <c r="H20" s="28">
        <f t="shared" si="1"/>
        <v>0</v>
      </c>
      <c r="I20" s="28">
        <f t="shared" si="1"/>
        <v>0</v>
      </c>
      <c r="J20" s="28">
        <f t="shared" si="1"/>
        <v>0</v>
      </c>
      <c r="K20" s="28">
        <f t="shared" si="1"/>
        <v>10.2</v>
      </c>
      <c r="L20" s="28">
        <f t="shared" si="1"/>
        <v>10.2</v>
      </c>
      <c r="M20" s="28">
        <f t="shared" si="1"/>
        <v>40.8</v>
      </c>
      <c r="N20" s="28">
        <f t="shared" si="1"/>
        <v>40.8</v>
      </c>
      <c r="O20" s="28">
        <f t="shared" si="1"/>
        <v>0</v>
      </c>
      <c r="P20" s="28">
        <f t="shared" si="1"/>
        <v>0</v>
      </c>
      <c r="Q20" s="28">
        <f t="shared" si="1"/>
        <v>0.024</v>
      </c>
      <c r="R20" s="28">
        <f t="shared" si="1"/>
        <v>0.02</v>
      </c>
      <c r="S20" s="28">
        <f t="shared" si="1"/>
        <v>3.4</v>
      </c>
      <c r="T20" s="28">
        <f t="shared" si="1"/>
        <v>3.4</v>
      </c>
      <c r="U20" s="28">
        <f aca="true" t="shared" si="2" ref="U20:AB20">SUM(U19)</f>
        <v>9.996</v>
      </c>
      <c r="V20" s="28">
        <f t="shared" si="2"/>
        <v>8.33</v>
      </c>
      <c r="W20" s="28">
        <f t="shared" si="2"/>
        <v>0.252</v>
      </c>
      <c r="X20" s="28">
        <f t="shared" si="2"/>
        <v>0.21</v>
      </c>
      <c r="Y20" s="28">
        <f t="shared" si="2"/>
        <v>0</v>
      </c>
      <c r="Z20" s="28">
        <f t="shared" si="2"/>
        <v>0</v>
      </c>
      <c r="AA20" s="28">
        <f t="shared" si="2"/>
        <v>0</v>
      </c>
      <c r="AB20" s="28">
        <f t="shared" si="2"/>
        <v>0</v>
      </c>
      <c r="AC20" s="75"/>
      <c r="AD20" s="22"/>
      <c r="AE20" s="22"/>
      <c r="AF20" s="22"/>
    </row>
    <row r="21" spans="1:32" ht="15" customHeight="1">
      <c r="A21" s="16"/>
      <c r="B21" s="90" t="s">
        <v>27</v>
      </c>
      <c r="C21" s="18"/>
      <c r="D21" s="18"/>
      <c r="E21" s="19"/>
      <c r="F21" s="19"/>
      <c r="G21" s="19"/>
      <c r="H21" s="20"/>
      <c r="I21" s="20"/>
      <c r="J21" s="20"/>
      <c r="K21" s="20"/>
      <c r="L21" s="20"/>
      <c r="M21" s="20"/>
      <c r="N21" s="20"/>
      <c r="O21" s="29"/>
      <c r="P21" s="29"/>
      <c r="Q21" s="29"/>
      <c r="R21" s="29"/>
      <c r="S21" s="29"/>
      <c r="T21" s="29"/>
      <c r="U21" s="29"/>
      <c r="V21" s="29"/>
      <c r="W21" s="29"/>
      <c r="X21" s="79"/>
      <c r="Y21" s="22"/>
      <c r="Z21" s="37"/>
      <c r="AA21" s="37"/>
      <c r="AB21" s="37"/>
      <c r="AC21" s="22"/>
      <c r="AD21" s="22"/>
      <c r="AE21" s="22"/>
      <c r="AF21" s="22"/>
    </row>
    <row r="22" spans="1:24" ht="15.75" customHeight="1">
      <c r="A22" s="132" t="s">
        <v>122</v>
      </c>
      <c r="B22" s="59" t="s">
        <v>123</v>
      </c>
      <c r="C22" s="60" t="s">
        <v>28</v>
      </c>
      <c r="D22" s="60" t="s">
        <v>180</v>
      </c>
      <c r="E22" s="61">
        <v>1.34</v>
      </c>
      <c r="F22" s="61">
        <v>1.12</v>
      </c>
      <c r="G22" s="122">
        <f>H22*60/50</f>
        <v>0.6</v>
      </c>
      <c r="H22" s="123">
        <v>0.5</v>
      </c>
      <c r="I22" s="122">
        <f>J22*60/50</f>
        <v>3.6</v>
      </c>
      <c r="J22" s="123">
        <v>3</v>
      </c>
      <c r="K22" s="122">
        <f>L22*60/50</f>
        <v>4.8</v>
      </c>
      <c r="L22" s="123">
        <v>4</v>
      </c>
      <c r="M22" s="122">
        <f>N22*60/50</f>
        <v>54</v>
      </c>
      <c r="N22" s="123">
        <v>45</v>
      </c>
      <c r="O22" s="122">
        <v>0.01</v>
      </c>
      <c r="P22" s="123">
        <v>0</v>
      </c>
      <c r="Q22" s="122">
        <v>0.02</v>
      </c>
      <c r="R22" s="123">
        <v>0</v>
      </c>
      <c r="S22" s="122">
        <f>T22*60/50</f>
        <v>5.712</v>
      </c>
      <c r="T22" s="123">
        <v>4.76</v>
      </c>
      <c r="U22" s="122">
        <v>20.69</v>
      </c>
      <c r="V22" s="123">
        <v>0</v>
      </c>
      <c r="W22" s="122">
        <v>0.78</v>
      </c>
      <c r="X22" s="123">
        <v>0</v>
      </c>
    </row>
    <row r="23" spans="1:31" s="31" customFormat="1" ht="25.5">
      <c r="A23" s="128" t="s">
        <v>84</v>
      </c>
      <c r="B23" s="23" t="s">
        <v>151</v>
      </c>
      <c r="C23" s="18" t="s">
        <v>178</v>
      </c>
      <c r="D23" s="18" t="s">
        <v>179</v>
      </c>
      <c r="E23" s="19">
        <v>13.57</v>
      </c>
      <c r="F23" s="19">
        <v>12.75</v>
      </c>
      <c r="G23" s="25">
        <v>5.49</v>
      </c>
      <c r="H23" s="25">
        <v>5.09</v>
      </c>
      <c r="I23" s="25">
        <v>8.19</v>
      </c>
      <c r="J23" s="25">
        <v>7.33</v>
      </c>
      <c r="K23" s="25">
        <v>8.16</v>
      </c>
      <c r="L23" s="25">
        <v>6.16</v>
      </c>
      <c r="M23" s="25">
        <v>128.31</v>
      </c>
      <c r="N23" s="25">
        <v>110.97</v>
      </c>
      <c r="O23" s="20">
        <v>0.11</v>
      </c>
      <c r="P23" s="20">
        <v>0.12</v>
      </c>
      <c r="Q23" s="20">
        <v>0.09</v>
      </c>
      <c r="R23" s="20">
        <v>0.1</v>
      </c>
      <c r="S23" s="25">
        <v>15.06</v>
      </c>
      <c r="T23" s="20">
        <v>11.37</v>
      </c>
      <c r="U23" s="20">
        <v>27.92</v>
      </c>
      <c r="V23" s="20">
        <v>23.55</v>
      </c>
      <c r="W23" s="20">
        <v>1.84</v>
      </c>
      <c r="X23" s="20">
        <v>2.01</v>
      </c>
      <c r="Z23" s="30"/>
      <c r="AA23" s="30"/>
      <c r="AB23" s="30"/>
      <c r="AC23" s="30"/>
      <c r="AD23" s="30"/>
      <c r="AE23" s="30"/>
    </row>
    <row r="24" spans="1:31" ht="39" customHeight="1">
      <c r="A24" s="144" t="s">
        <v>154</v>
      </c>
      <c r="B24" s="59" t="s">
        <v>157</v>
      </c>
      <c r="C24" s="60" t="s">
        <v>155</v>
      </c>
      <c r="D24" s="60" t="s">
        <v>158</v>
      </c>
      <c r="E24" s="61">
        <v>23.42</v>
      </c>
      <c r="F24" s="61">
        <v>17.29</v>
      </c>
      <c r="G24" s="61">
        <v>13.25</v>
      </c>
      <c r="H24" s="62">
        <v>9.8</v>
      </c>
      <c r="I24" s="61">
        <v>23.72</v>
      </c>
      <c r="J24" s="62">
        <v>17.88</v>
      </c>
      <c r="K24" s="62">
        <v>49.81</v>
      </c>
      <c r="L24" s="62">
        <v>36.7</v>
      </c>
      <c r="M24" s="62">
        <v>465.72</v>
      </c>
      <c r="N24" s="62">
        <v>346.92</v>
      </c>
      <c r="O24" s="62">
        <v>0.26</v>
      </c>
      <c r="P24" s="62">
        <v>0.19</v>
      </c>
      <c r="Q24" s="62">
        <v>0.17</v>
      </c>
      <c r="R24" s="62">
        <v>0.16</v>
      </c>
      <c r="S24" s="62">
        <v>4.26</v>
      </c>
      <c r="T24" s="62">
        <v>3.08</v>
      </c>
      <c r="U24" s="62">
        <v>25.1</v>
      </c>
      <c r="V24" s="62">
        <v>29.43</v>
      </c>
      <c r="W24" s="62">
        <v>4.1</v>
      </c>
      <c r="X24" s="62">
        <v>3.43</v>
      </c>
      <c r="Y24" s="22"/>
      <c r="Z24" s="22"/>
      <c r="AA24" s="22"/>
      <c r="AB24" s="22"/>
      <c r="AC24" s="22"/>
      <c r="AD24" s="22"/>
      <c r="AE24" s="22"/>
    </row>
    <row r="25" spans="1:31" ht="27" customHeight="1">
      <c r="A25" s="130" t="s">
        <v>121</v>
      </c>
      <c r="B25" s="38" t="s">
        <v>112</v>
      </c>
      <c r="C25" s="24">
        <v>200</v>
      </c>
      <c r="D25" s="24">
        <v>150</v>
      </c>
      <c r="E25" s="19">
        <v>1.51</v>
      </c>
      <c r="F25" s="19">
        <v>1.13</v>
      </c>
      <c r="G25" s="19">
        <v>0.6</v>
      </c>
      <c r="H25" s="20">
        <f>G25*150/200</f>
        <v>0.45</v>
      </c>
      <c r="I25" s="19">
        <v>0</v>
      </c>
      <c r="J25" s="20">
        <f>I25*150/200</f>
        <v>0</v>
      </c>
      <c r="K25" s="19">
        <v>31.4</v>
      </c>
      <c r="L25" s="20">
        <f>K25*150/200</f>
        <v>23.55</v>
      </c>
      <c r="M25" s="19">
        <v>124</v>
      </c>
      <c r="N25" s="20">
        <f>M25*150/200</f>
        <v>93</v>
      </c>
      <c r="O25" s="20">
        <v>0.02</v>
      </c>
      <c r="P25" s="20">
        <f>O25*150/200</f>
        <v>0.015</v>
      </c>
      <c r="Q25" s="20">
        <v>0.03</v>
      </c>
      <c r="R25" s="20">
        <f>Q25*150/200</f>
        <v>0.0225</v>
      </c>
      <c r="S25" s="20">
        <v>0.45</v>
      </c>
      <c r="T25" s="20">
        <f>S25*150/200</f>
        <v>0.3375</v>
      </c>
      <c r="U25" s="20">
        <v>12.3</v>
      </c>
      <c r="V25" s="20">
        <f>U25*150/200</f>
        <v>9.225</v>
      </c>
      <c r="W25" s="39">
        <v>2</v>
      </c>
      <c r="X25" s="77">
        <f>W25*150/200</f>
        <v>1.5</v>
      </c>
      <c r="Y25" s="22"/>
      <c r="Z25" s="22"/>
      <c r="AA25" s="22"/>
      <c r="AB25" s="22"/>
      <c r="AC25" s="22"/>
      <c r="AD25" s="22"/>
      <c r="AE25" s="22"/>
    </row>
    <row r="26" spans="1:31" s="68" customFormat="1" ht="15" customHeight="1">
      <c r="A26" s="127"/>
      <c r="B26" s="59" t="s">
        <v>30</v>
      </c>
      <c r="C26" s="60" t="s">
        <v>31</v>
      </c>
      <c r="D26" s="60" t="s">
        <v>31</v>
      </c>
      <c r="E26" s="61">
        <v>1.11</v>
      </c>
      <c r="F26" s="61">
        <v>1.11</v>
      </c>
      <c r="G26" s="61">
        <v>1.6</v>
      </c>
      <c r="H26" s="61">
        <v>1.6</v>
      </c>
      <c r="I26" s="61">
        <v>0.4</v>
      </c>
      <c r="J26" s="61">
        <v>0.4</v>
      </c>
      <c r="K26" s="61">
        <v>10</v>
      </c>
      <c r="L26" s="61">
        <v>10</v>
      </c>
      <c r="M26" s="62">
        <v>54</v>
      </c>
      <c r="N26" s="62">
        <v>54</v>
      </c>
      <c r="O26" s="65">
        <v>0.04</v>
      </c>
      <c r="P26" s="66">
        <v>0.04</v>
      </c>
      <c r="Q26" s="65">
        <v>0.02</v>
      </c>
      <c r="R26" s="66">
        <v>0.02</v>
      </c>
      <c r="S26" s="65">
        <v>0</v>
      </c>
      <c r="T26" s="66">
        <v>0</v>
      </c>
      <c r="U26" s="65">
        <v>7.4</v>
      </c>
      <c r="V26" s="66">
        <v>7.4</v>
      </c>
      <c r="W26" s="65">
        <v>0.56</v>
      </c>
      <c r="X26" s="66">
        <v>0.56</v>
      </c>
      <c r="Y26" s="67"/>
      <c r="Z26" s="67"/>
      <c r="AA26" s="67"/>
      <c r="AB26" s="67"/>
      <c r="AC26" s="67"/>
      <c r="AD26" s="67"/>
      <c r="AE26" s="67"/>
    </row>
    <row r="27" spans="1:31" ht="15" customHeight="1">
      <c r="A27" s="127"/>
      <c r="B27" s="59" t="s">
        <v>32</v>
      </c>
      <c r="C27" s="60" t="s">
        <v>80</v>
      </c>
      <c r="D27" s="60" t="s">
        <v>81</v>
      </c>
      <c r="E27" s="61">
        <v>2.09</v>
      </c>
      <c r="F27" s="61">
        <v>1.83</v>
      </c>
      <c r="G27" s="61">
        <v>3.25</v>
      </c>
      <c r="H27" s="62">
        <v>2.84</v>
      </c>
      <c r="I27" s="62">
        <v>0.46</v>
      </c>
      <c r="J27" s="62">
        <f>I27*40.6/46</f>
        <v>0.406</v>
      </c>
      <c r="K27" s="62">
        <v>20.88</v>
      </c>
      <c r="L27" s="62">
        <v>18.27</v>
      </c>
      <c r="M27" s="62">
        <v>102.08</v>
      </c>
      <c r="N27" s="62">
        <v>89.32</v>
      </c>
      <c r="O27" s="63">
        <v>0.06</v>
      </c>
      <c r="P27" s="69">
        <v>0.04</v>
      </c>
      <c r="Q27" s="63">
        <v>0.04</v>
      </c>
      <c r="R27" s="69">
        <v>0.03</v>
      </c>
      <c r="S27" s="63">
        <v>0</v>
      </c>
      <c r="T27" s="62">
        <f>S27*40.6/46</f>
        <v>0</v>
      </c>
      <c r="U27" s="65">
        <v>17</v>
      </c>
      <c r="V27" s="66">
        <v>13.6</v>
      </c>
      <c r="W27" s="65">
        <v>1.15</v>
      </c>
      <c r="X27" s="66">
        <v>0.92</v>
      </c>
      <c r="Y27" s="22"/>
      <c r="Z27" s="22"/>
      <c r="AA27" s="22"/>
      <c r="AB27" s="22"/>
      <c r="AC27" s="22"/>
      <c r="AD27" s="22"/>
      <c r="AE27" s="22"/>
    </row>
    <row r="28" spans="1:32" ht="15" customHeight="1">
      <c r="A28" s="16"/>
      <c r="B28" s="17" t="s">
        <v>23</v>
      </c>
      <c r="C28" s="18"/>
      <c r="D28" s="18"/>
      <c r="E28" s="28">
        <f>SUM(E22:E27)</f>
        <v>43.03999999999999</v>
      </c>
      <c r="F28" s="28">
        <f>SUM(F22:F27)</f>
        <v>35.23</v>
      </c>
      <c r="G28" s="28">
        <f>SUM(G22:G27)-2</f>
        <v>22.790000000000003</v>
      </c>
      <c r="H28" s="28">
        <f>SUM(H22:H27)-1</f>
        <v>19.28</v>
      </c>
      <c r="I28" s="28">
        <f aca="true" t="shared" si="3" ref="I28:T28">SUM(I22:I27)</f>
        <v>36.37</v>
      </c>
      <c r="J28" s="28">
        <f t="shared" si="3"/>
        <v>29.016</v>
      </c>
      <c r="K28" s="28">
        <f>SUM(K22:K27)</f>
        <v>125.05</v>
      </c>
      <c r="L28" s="28">
        <f t="shared" si="3"/>
        <v>98.67999999999999</v>
      </c>
      <c r="M28" s="28">
        <f>SUM(M22:M27)-0</f>
        <v>928.11</v>
      </c>
      <c r="N28" s="28">
        <f>SUM(N22:N27)-14</f>
        <v>725.21</v>
      </c>
      <c r="O28" s="28">
        <f t="shared" si="3"/>
        <v>0.5</v>
      </c>
      <c r="P28" s="28">
        <f t="shared" si="3"/>
        <v>0.40499999999999997</v>
      </c>
      <c r="Q28" s="28">
        <f t="shared" si="3"/>
        <v>0.37000000000000005</v>
      </c>
      <c r="R28" s="28">
        <f t="shared" si="3"/>
        <v>0.3325</v>
      </c>
      <c r="S28" s="28">
        <f t="shared" si="3"/>
        <v>25.481999999999996</v>
      </c>
      <c r="T28" s="28">
        <f t="shared" si="3"/>
        <v>19.5475</v>
      </c>
      <c r="U28" s="28">
        <f aca="true" t="shared" si="4" ref="U28:AB28">SUM(U22:U27)</f>
        <v>110.41000000000001</v>
      </c>
      <c r="V28" s="28">
        <f t="shared" si="4"/>
        <v>83.205</v>
      </c>
      <c r="W28" s="28">
        <f t="shared" si="4"/>
        <v>10.43</v>
      </c>
      <c r="X28" s="28">
        <f t="shared" si="4"/>
        <v>8.42</v>
      </c>
      <c r="Y28" s="28">
        <f t="shared" si="4"/>
        <v>0</v>
      </c>
      <c r="Z28" s="28">
        <f t="shared" si="4"/>
        <v>0</v>
      </c>
      <c r="AA28" s="28">
        <f t="shared" si="4"/>
        <v>0</v>
      </c>
      <c r="AB28" s="28">
        <f t="shared" si="4"/>
        <v>0</v>
      </c>
      <c r="AC28" s="75"/>
      <c r="AD28" s="22"/>
      <c r="AE28" s="22"/>
      <c r="AF28" s="22"/>
    </row>
    <row r="29" spans="1:32" ht="15" customHeight="1">
      <c r="A29" s="16"/>
      <c r="B29" s="90" t="s">
        <v>33</v>
      </c>
      <c r="C29" s="18"/>
      <c r="D29" s="18"/>
      <c r="E29" s="19"/>
      <c r="F29" s="19"/>
      <c r="G29" s="19"/>
      <c r="H29" s="20"/>
      <c r="I29" s="20"/>
      <c r="J29" s="20"/>
      <c r="K29" s="20"/>
      <c r="L29" s="20"/>
      <c r="M29" s="20"/>
      <c r="N29" s="20"/>
      <c r="O29" s="29"/>
      <c r="P29" s="29"/>
      <c r="Q29" s="29"/>
      <c r="R29" s="29"/>
      <c r="S29" s="29"/>
      <c r="T29" s="29"/>
      <c r="U29" s="29"/>
      <c r="V29" s="29"/>
      <c r="W29" s="29"/>
      <c r="X29" s="79"/>
      <c r="Y29" s="22"/>
      <c r="Z29" s="37"/>
      <c r="AA29" s="37"/>
      <c r="AB29" s="37"/>
      <c r="AC29" s="22"/>
      <c r="AD29" s="22"/>
      <c r="AE29" s="22"/>
      <c r="AF29" s="22"/>
    </row>
    <row r="30" spans="1:31" ht="15" customHeight="1">
      <c r="A30" s="127" t="s">
        <v>34</v>
      </c>
      <c r="B30" s="59" t="s">
        <v>35</v>
      </c>
      <c r="C30" s="60" t="s">
        <v>26</v>
      </c>
      <c r="D30" s="60" t="s">
        <v>26</v>
      </c>
      <c r="E30" s="61">
        <v>10.36</v>
      </c>
      <c r="F30" s="61">
        <v>10.36</v>
      </c>
      <c r="G30" s="61">
        <v>5.31</v>
      </c>
      <c r="H30" s="62">
        <v>5.31</v>
      </c>
      <c r="I30" s="61">
        <v>4.5</v>
      </c>
      <c r="J30" s="62">
        <v>4.5</v>
      </c>
      <c r="K30" s="61">
        <v>8.91</v>
      </c>
      <c r="L30" s="62">
        <v>8.91</v>
      </c>
      <c r="M30" s="61">
        <v>97.38</v>
      </c>
      <c r="N30" s="62">
        <v>97.38</v>
      </c>
      <c r="O30" s="61">
        <v>0.07</v>
      </c>
      <c r="P30" s="62">
        <v>0.07</v>
      </c>
      <c r="Q30" s="61">
        <v>0.3</v>
      </c>
      <c r="R30" s="62">
        <v>0.3</v>
      </c>
      <c r="S30" s="61">
        <v>2.46</v>
      </c>
      <c r="T30" s="62">
        <v>2.46</v>
      </c>
      <c r="U30" s="61">
        <v>275.74</v>
      </c>
      <c r="V30" s="62">
        <v>275.74</v>
      </c>
      <c r="W30" s="61">
        <v>0.23</v>
      </c>
      <c r="X30" s="62">
        <v>0.23</v>
      </c>
      <c r="Y30" s="37"/>
      <c r="Z30" s="37"/>
      <c r="AA30" s="37"/>
      <c r="AB30" s="37"/>
      <c r="AC30" s="37"/>
      <c r="AD30" s="37"/>
      <c r="AE30" s="22"/>
    </row>
    <row r="31" spans="1:29" s="73" customFormat="1" ht="15" customHeight="1">
      <c r="A31" s="16"/>
      <c r="B31" s="17" t="s">
        <v>23</v>
      </c>
      <c r="C31" s="18"/>
      <c r="D31" s="18"/>
      <c r="E31" s="28">
        <f>SUM(E30)</f>
        <v>10.36</v>
      </c>
      <c r="F31" s="28">
        <f>SUM(F30)</f>
        <v>10.36</v>
      </c>
      <c r="G31" s="28">
        <f aca="true" t="shared" si="5" ref="G31:T31">SUM(G30)</f>
        <v>5.31</v>
      </c>
      <c r="H31" s="28">
        <f t="shared" si="5"/>
        <v>5.31</v>
      </c>
      <c r="I31" s="28">
        <f t="shared" si="5"/>
        <v>4.5</v>
      </c>
      <c r="J31" s="28">
        <f t="shared" si="5"/>
        <v>4.5</v>
      </c>
      <c r="K31" s="28">
        <f t="shared" si="5"/>
        <v>8.91</v>
      </c>
      <c r="L31" s="28">
        <f t="shared" si="5"/>
        <v>8.91</v>
      </c>
      <c r="M31" s="28">
        <f t="shared" si="5"/>
        <v>97.38</v>
      </c>
      <c r="N31" s="28">
        <f t="shared" si="5"/>
        <v>97.38</v>
      </c>
      <c r="O31" s="28">
        <f t="shared" si="5"/>
        <v>0.07</v>
      </c>
      <c r="P31" s="28">
        <f t="shared" si="5"/>
        <v>0.07</v>
      </c>
      <c r="Q31" s="28">
        <f t="shared" si="5"/>
        <v>0.3</v>
      </c>
      <c r="R31" s="28">
        <f t="shared" si="5"/>
        <v>0.3</v>
      </c>
      <c r="S31" s="28">
        <f t="shared" si="5"/>
        <v>2.46</v>
      </c>
      <c r="T31" s="28">
        <f t="shared" si="5"/>
        <v>2.46</v>
      </c>
      <c r="U31" s="28" t="e">
        <f>SUM(#REF!)</f>
        <v>#REF!</v>
      </c>
      <c r="V31" s="28" t="e">
        <f>SUM(#REF!)</f>
        <v>#REF!</v>
      </c>
      <c r="W31" s="28" t="e">
        <f>SUM(#REF!)</f>
        <v>#REF!</v>
      </c>
      <c r="X31" s="85" t="e">
        <f>SUM(#REF!)</f>
        <v>#REF!</v>
      </c>
      <c r="Y31" s="86"/>
      <c r="Z31" s="75"/>
      <c r="AA31" s="75"/>
      <c r="AB31" s="75"/>
      <c r="AC31" s="75"/>
    </row>
    <row r="32" spans="1:32" ht="15" customHeight="1">
      <c r="A32" s="16"/>
      <c r="B32" s="90" t="s">
        <v>36</v>
      </c>
      <c r="C32" s="18"/>
      <c r="D32" s="18"/>
      <c r="E32" s="33"/>
      <c r="F32" s="19"/>
      <c r="G32" s="19"/>
      <c r="H32" s="20"/>
      <c r="I32" s="20"/>
      <c r="J32" s="20"/>
      <c r="K32" s="20"/>
      <c r="L32" s="20"/>
      <c r="M32" s="20"/>
      <c r="N32" s="20"/>
      <c r="O32" s="29"/>
      <c r="P32" s="29"/>
      <c r="Q32" s="29"/>
      <c r="R32" s="29"/>
      <c r="S32" s="29"/>
      <c r="T32" s="29"/>
      <c r="U32" s="29"/>
      <c r="V32" s="29"/>
      <c r="W32" s="29"/>
      <c r="X32" s="79"/>
      <c r="Y32" s="22"/>
      <c r="Z32" s="37"/>
      <c r="AA32" s="37"/>
      <c r="AB32" s="37"/>
      <c r="AC32" s="22"/>
      <c r="AD32" s="22"/>
      <c r="AE32" s="22"/>
      <c r="AF32" s="22"/>
    </row>
    <row r="33" spans="1:29" s="31" customFormat="1" ht="18.75" customHeight="1">
      <c r="A33" s="129" t="s">
        <v>128</v>
      </c>
      <c r="B33" s="59" t="s">
        <v>129</v>
      </c>
      <c r="C33" s="60" t="s">
        <v>29</v>
      </c>
      <c r="D33" s="60" t="s">
        <v>29</v>
      </c>
      <c r="E33" s="61">
        <v>25.79</v>
      </c>
      <c r="F33" s="61">
        <v>25.79</v>
      </c>
      <c r="G33" s="61">
        <v>15.77</v>
      </c>
      <c r="H33" s="62">
        <v>15.77</v>
      </c>
      <c r="I33" s="62">
        <v>2.76</v>
      </c>
      <c r="J33" s="62">
        <v>2.76</v>
      </c>
      <c r="K33" s="62">
        <v>7.3</v>
      </c>
      <c r="L33" s="62">
        <v>7.3</v>
      </c>
      <c r="M33" s="62">
        <v>117</v>
      </c>
      <c r="N33" s="62">
        <v>117</v>
      </c>
      <c r="O33" s="62">
        <v>0.09</v>
      </c>
      <c r="P33" s="62">
        <v>0.09</v>
      </c>
      <c r="Q33" s="62">
        <v>0.1</v>
      </c>
      <c r="R33" s="62">
        <v>0.1</v>
      </c>
      <c r="S33" s="62">
        <v>2.29</v>
      </c>
      <c r="T33" s="62">
        <v>2.29</v>
      </c>
      <c r="U33" s="62">
        <v>23.97</v>
      </c>
      <c r="V33" s="62">
        <v>23.97</v>
      </c>
      <c r="W33" s="62">
        <v>0.61</v>
      </c>
      <c r="X33" s="62">
        <v>0.61</v>
      </c>
      <c r="Y33" s="36"/>
      <c r="Z33" s="105"/>
      <c r="AA33" s="105"/>
      <c r="AB33" s="105"/>
      <c r="AC33" s="36"/>
    </row>
    <row r="34" spans="1:29" ht="15.75" customHeight="1">
      <c r="A34" s="127" t="s">
        <v>18</v>
      </c>
      <c r="B34" s="64" t="s">
        <v>150</v>
      </c>
      <c r="C34" s="60" t="s">
        <v>61</v>
      </c>
      <c r="D34" s="60" t="s">
        <v>89</v>
      </c>
      <c r="E34" s="61">
        <v>3.59</v>
      </c>
      <c r="F34" s="61">
        <v>2.76</v>
      </c>
      <c r="G34" s="61">
        <v>1.95</v>
      </c>
      <c r="H34" s="61">
        <f>G34*100/130</f>
        <v>1.5</v>
      </c>
      <c r="I34" s="61">
        <v>5.07</v>
      </c>
      <c r="J34" s="61">
        <f>I34*100/130</f>
        <v>3.9</v>
      </c>
      <c r="K34" s="61">
        <v>19.89</v>
      </c>
      <c r="L34" s="61">
        <f>K34*100/130</f>
        <v>15.3</v>
      </c>
      <c r="M34" s="61">
        <v>132.99</v>
      </c>
      <c r="N34" s="61">
        <f>M34*100/130</f>
        <v>102.3</v>
      </c>
      <c r="O34" s="61">
        <f>P34*1.3</f>
        <v>0.24700000000000003</v>
      </c>
      <c r="P34" s="62">
        <v>0.19</v>
      </c>
      <c r="Q34" s="61">
        <f>R34*1.3</f>
        <v>0.052000000000000005</v>
      </c>
      <c r="R34" s="62">
        <v>0.04</v>
      </c>
      <c r="S34" s="61">
        <f>T34*150/100</f>
        <v>0</v>
      </c>
      <c r="T34" s="62">
        <v>0</v>
      </c>
      <c r="U34" s="61">
        <f>V34*1.3</f>
        <v>31.628999999999998</v>
      </c>
      <c r="V34" s="62">
        <v>24.33</v>
      </c>
      <c r="W34" s="61">
        <f>X34*1.3</f>
        <v>1.222</v>
      </c>
      <c r="X34" s="62">
        <v>0.94</v>
      </c>
      <c r="Z34" s="37"/>
      <c r="AA34" s="37"/>
      <c r="AB34" s="37"/>
      <c r="AC34" s="22"/>
    </row>
    <row r="35" spans="1:31" ht="15" customHeight="1">
      <c r="A35" s="128" t="s">
        <v>97</v>
      </c>
      <c r="B35" s="23" t="s">
        <v>98</v>
      </c>
      <c r="C35" s="18" t="s">
        <v>21</v>
      </c>
      <c r="D35" s="18" t="s">
        <v>22</v>
      </c>
      <c r="E35" s="19">
        <v>0.51</v>
      </c>
      <c r="F35" s="19">
        <v>0.38</v>
      </c>
      <c r="G35" s="19">
        <v>0.18</v>
      </c>
      <c r="H35" s="20">
        <v>0.13</v>
      </c>
      <c r="I35" s="19">
        <f>J35*200/150</f>
        <v>0</v>
      </c>
      <c r="J35" s="20">
        <v>0</v>
      </c>
      <c r="K35" s="19">
        <v>4.78</v>
      </c>
      <c r="L35" s="20">
        <v>3.58</v>
      </c>
      <c r="M35" s="19">
        <v>19.9</v>
      </c>
      <c r="N35" s="20">
        <v>14.92</v>
      </c>
      <c r="O35" s="19">
        <f>P35*200/150</f>
        <v>0.013333333333333334</v>
      </c>
      <c r="P35" s="29">
        <v>0.01</v>
      </c>
      <c r="Q35" s="19">
        <f>R35*200/150</f>
        <v>0.013333333333333334</v>
      </c>
      <c r="R35" s="29">
        <v>0.01</v>
      </c>
      <c r="S35" s="19">
        <v>0.04</v>
      </c>
      <c r="T35" s="29">
        <v>0.03</v>
      </c>
      <c r="U35" s="19">
        <f>V35*200/150</f>
        <v>5.053333333333334</v>
      </c>
      <c r="V35" s="29">
        <v>3.79</v>
      </c>
      <c r="W35" s="19">
        <f>X35*200/150</f>
        <v>0.84</v>
      </c>
      <c r="X35" s="79">
        <v>0.63</v>
      </c>
      <c r="Y35" s="22"/>
      <c r="Z35" s="22"/>
      <c r="AA35" s="22"/>
      <c r="AB35" s="22"/>
      <c r="AC35" s="22"/>
      <c r="AD35" s="22"/>
      <c r="AE35" s="22"/>
    </row>
    <row r="36" spans="1:31" s="68" customFormat="1" ht="15" customHeight="1">
      <c r="A36" s="127"/>
      <c r="B36" s="59" t="s">
        <v>30</v>
      </c>
      <c r="C36" s="60" t="s">
        <v>31</v>
      </c>
      <c r="D36" s="60" t="s">
        <v>31</v>
      </c>
      <c r="E36" s="61">
        <v>1.11</v>
      </c>
      <c r="F36" s="61">
        <v>1.11</v>
      </c>
      <c r="G36" s="61">
        <v>1.6</v>
      </c>
      <c r="H36" s="61">
        <v>1.6</v>
      </c>
      <c r="I36" s="61">
        <v>0.4</v>
      </c>
      <c r="J36" s="61">
        <v>0.4</v>
      </c>
      <c r="K36" s="61">
        <v>10</v>
      </c>
      <c r="L36" s="61">
        <v>10</v>
      </c>
      <c r="M36" s="62">
        <v>54</v>
      </c>
      <c r="N36" s="62">
        <v>54</v>
      </c>
      <c r="O36" s="65">
        <v>0.04</v>
      </c>
      <c r="P36" s="66">
        <v>0.04</v>
      </c>
      <c r="Q36" s="65">
        <v>0.02</v>
      </c>
      <c r="R36" s="66">
        <v>0.02</v>
      </c>
      <c r="S36" s="65">
        <v>0</v>
      </c>
      <c r="T36" s="66">
        <v>0</v>
      </c>
      <c r="U36" s="65">
        <v>7.4</v>
      </c>
      <c r="V36" s="66">
        <v>7.4</v>
      </c>
      <c r="W36" s="65">
        <v>0.56</v>
      </c>
      <c r="X36" s="66">
        <v>0.56</v>
      </c>
      <c r="Y36" s="67"/>
      <c r="Z36" s="67"/>
      <c r="AA36" s="67"/>
      <c r="AB36" s="67"/>
      <c r="AC36" s="67"/>
      <c r="AD36" s="67"/>
      <c r="AE36" s="67"/>
    </row>
    <row r="37" spans="1:32" ht="15" customHeight="1">
      <c r="A37" s="16"/>
      <c r="B37" s="17" t="s">
        <v>23</v>
      </c>
      <c r="C37" s="18"/>
      <c r="D37" s="18"/>
      <c r="E37" s="28">
        <f>SUM(E33:E36)</f>
        <v>31</v>
      </c>
      <c r="F37" s="28">
        <f>SUM(F33:F36)</f>
        <v>30.039999999999996</v>
      </c>
      <c r="G37" s="28">
        <f aca="true" t="shared" si="6" ref="G37:T37">SUM(G33:G36)</f>
        <v>19.5</v>
      </c>
      <c r="H37" s="28">
        <f t="shared" si="6"/>
        <v>19</v>
      </c>
      <c r="I37" s="28">
        <f t="shared" si="6"/>
        <v>8.23</v>
      </c>
      <c r="J37" s="28">
        <f t="shared" si="6"/>
        <v>7.0600000000000005</v>
      </c>
      <c r="K37" s="28">
        <f t="shared" si="6"/>
        <v>41.97</v>
      </c>
      <c r="L37" s="28">
        <f t="shared" si="6"/>
        <v>36.18</v>
      </c>
      <c r="M37" s="28">
        <f t="shared" si="6"/>
        <v>323.89</v>
      </c>
      <c r="N37" s="28">
        <f t="shared" si="6"/>
        <v>288.22</v>
      </c>
      <c r="O37" s="28">
        <f t="shared" si="6"/>
        <v>0.3903333333333333</v>
      </c>
      <c r="P37" s="28">
        <f t="shared" si="6"/>
        <v>0.33</v>
      </c>
      <c r="Q37" s="28">
        <f t="shared" si="6"/>
        <v>0.18533333333333335</v>
      </c>
      <c r="R37" s="28">
        <f t="shared" si="6"/>
        <v>0.17</v>
      </c>
      <c r="S37" s="28">
        <f t="shared" si="6"/>
        <v>2.33</v>
      </c>
      <c r="T37" s="28">
        <f t="shared" si="6"/>
        <v>2.32</v>
      </c>
      <c r="U37" s="28">
        <f aca="true" t="shared" si="7" ref="U37:AB37">SUM(U33:U36)</f>
        <v>68.05233333333334</v>
      </c>
      <c r="V37" s="28">
        <f t="shared" si="7"/>
        <v>59.489999999999995</v>
      </c>
      <c r="W37" s="28">
        <f t="shared" si="7"/>
        <v>3.2319999999999998</v>
      </c>
      <c r="X37" s="28">
        <f t="shared" si="7"/>
        <v>2.7399999999999998</v>
      </c>
      <c r="Y37" s="28">
        <f t="shared" si="7"/>
        <v>0</v>
      </c>
      <c r="Z37" s="28">
        <f t="shared" si="7"/>
        <v>0</v>
      </c>
      <c r="AA37" s="28">
        <f t="shared" si="7"/>
        <v>0</v>
      </c>
      <c r="AB37" s="28">
        <f t="shared" si="7"/>
        <v>0</v>
      </c>
      <c r="AC37" s="75"/>
      <c r="AD37" s="22"/>
      <c r="AE37" s="22"/>
      <c r="AF37" s="22"/>
    </row>
    <row r="38" spans="1:32" ht="15" customHeight="1">
      <c r="A38" s="16"/>
      <c r="B38" s="17" t="s">
        <v>37</v>
      </c>
      <c r="C38" s="18"/>
      <c r="D38" s="18"/>
      <c r="E38" s="28">
        <f>E37+E31+E28+E20+E17</f>
        <v>99</v>
      </c>
      <c r="F38" s="28">
        <f>F37+F31+F28+F20+F17</f>
        <v>88.73</v>
      </c>
      <c r="G38" s="28">
        <f aca="true" t="shared" si="8" ref="G38:T38">G37+G31+G28+G20+G17</f>
        <v>54.49</v>
      </c>
      <c r="H38" s="28">
        <f t="shared" si="8"/>
        <v>49.17</v>
      </c>
      <c r="I38" s="28">
        <f t="shared" si="8"/>
        <v>59.059999999999995</v>
      </c>
      <c r="J38" s="28">
        <f t="shared" si="8"/>
        <v>49.226</v>
      </c>
      <c r="K38" s="28">
        <f t="shared" si="8"/>
        <v>259.45</v>
      </c>
      <c r="L38" s="28">
        <f t="shared" si="8"/>
        <v>211.55999999999997</v>
      </c>
      <c r="M38" s="28">
        <f t="shared" si="8"/>
        <v>1796.2</v>
      </c>
      <c r="N38" s="28">
        <f t="shared" si="8"/>
        <v>1478.83</v>
      </c>
      <c r="O38" s="28">
        <f t="shared" si="8"/>
        <v>1.1603333333333332</v>
      </c>
      <c r="P38" s="28">
        <f t="shared" si="8"/>
        <v>0.945</v>
      </c>
      <c r="Q38" s="28">
        <f t="shared" si="8"/>
        <v>0.9593333333333334</v>
      </c>
      <c r="R38" s="28">
        <f t="shared" si="8"/>
        <v>0.8725</v>
      </c>
      <c r="S38" s="28">
        <f t="shared" si="8"/>
        <v>33.672</v>
      </c>
      <c r="T38" s="28">
        <f t="shared" si="8"/>
        <v>27.7275</v>
      </c>
      <c r="U38" s="28" t="e">
        <f>U37+U31+U28+U20+U17</f>
        <v>#REF!</v>
      </c>
      <c r="V38" s="28" t="e">
        <f>V37+V31+V28+V20+V17</f>
        <v>#REF!</v>
      </c>
      <c r="W38" s="28" t="e">
        <f>W37+W31+W28+W20+W17</f>
        <v>#REF!</v>
      </c>
      <c r="X38" s="78" t="e">
        <f>X37+X31+X28+X20+X17</f>
        <v>#REF!</v>
      </c>
      <c r="Y38" s="75"/>
      <c r="Z38" s="75"/>
      <c r="AA38" s="75"/>
      <c r="AB38" s="75"/>
      <c r="AC38" s="75"/>
      <c r="AD38" s="22"/>
      <c r="AE38" s="22"/>
      <c r="AF38" s="22"/>
    </row>
    <row r="39" spans="1:32" ht="15" customHeight="1">
      <c r="A39" s="16"/>
      <c r="B39" s="17"/>
      <c r="C39" s="18"/>
      <c r="D39" s="1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78"/>
      <c r="Y39" s="75"/>
      <c r="Z39" s="75"/>
      <c r="AA39" s="75"/>
      <c r="AB39" s="75"/>
      <c r="AC39" s="75"/>
      <c r="AD39" s="22"/>
      <c r="AE39" s="22"/>
      <c r="AF39" s="22"/>
    </row>
    <row r="40" spans="1:32" ht="15" customHeight="1">
      <c r="A40" s="16"/>
      <c r="B40" s="88" t="s">
        <v>183</v>
      </c>
      <c r="C40" s="18"/>
      <c r="D40" s="18"/>
      <c r="E40" s="19"/>
      <c r="F40" s="19"/>
      <c r="G40" s="19"/>
      <c r="H40" s="20"/>
      <c r="I40" s="20"/>
      <c r="J40" s="20"/>
      <c r="K40" s="20"/>
      <c r="L40" s="20"/>
      <c r="M40" s="20"/>
      <c r="N40" s="20"/>
      <c r="O40" s="29"/>
      <c r="P40" s="29"/>
      <c r="Q40" s="29"/>
      <c r="R40" s="29"/>
      <c r="S40" s="29"/>
      <c r="T40" s="29"/>
      <c r="U40" s="29"/>
      <c r="V40" s="29"/>
      <c r="W40" s="29"/>
      <c r="X40" s="79"/>
      <c r="Y40" s="22"/>
      <c r="Z40" s="37"/>
      <c r="AA40" s="37"/>
      <c r="AB40" s="37"/>
      <c r="AC40" s="22"/>
      <c r="AD40" s="22"/>
      <c r="AE40" s="22"/>
      <c r="AF40" s="22"/>
    </row>
    <row r="41" spans="1:32" ht="15" customHeight="1">
      <c r="A41" s="16"/>
      <c r="B41" s="90" t="s">
        <v>17</v>
      </c>
      <c r="C41" s="18"/>
      <c r="D41" s="18"/>
      <c r="E41" s="19"/>
      <c r="F41" s="19"/>
      <c r="G41" s="19"/>
      <c r="H41" s="20"/>
      <c r="I41" s="20"/>
      <c r="J41" s="20"/>
      <c r="K41" s="20"/>
      <c r="L41" s="20"/>
      <c r="M41" s="20"/>
      <c r="N41" s="20"/>
      <c r="O41" s="29"/>
      <c r="P41" s="29"/>
      <c r="Q41" s="29"/>
      <c r="R41" s="29"/>
      <c r="S41" s="29"/>
      <c r="T41" s="29"/>
      <c r="U41" s="29"/>
      <c r="V41" s="29"/>
      <c r="W41" s="29"/>
      <c r="X41" s="79"/>
      <c r="Y41" s="22"/>
      <c r="Z41" s="37"/>
      <c r="AA41" s="37"/>
      <c r="AB41" s="37"/>
      <c r="AC41" s="22"/>
      <c r="AD41" s="22"/>
      <c r="AE41" s="22"/>
      <c r="AF41" s="22"/>
    </row>
    <row r="42" spans="1:30" s="31" customFormat="1" ht="15" customHeight="1">
      <c r="A42" s="127" t="s">
        <v>38</v>
      </c>
      <c r="B42" s="59" t="s">
        <v>39</v>
      </c>
      <c r="C42" s="60" t="s">
        <v>93</v>
      </c>
      <c r="D42" s="60" t="s">
        <v>93</v>
      </c>
      <c r="E42" s="61">
        <v>4.03</v>
      </c>
      <c r="F42" s="61">
        <v>4.03</v>
      </c>
      <c r="G42" s="61">
        <v>1.63</v>
      </c>
      <c r="H42" s="62">
        <v>1.63</v>
      </c>
      <c r="I42" s="62">
        <v>4.7</v>
      </c>
      <c r="J42" s="62">
        <v>4.7</v>
      </c>
      <c r="K42" s="62">
        <v>10.4</v>
      </c>
      <c r="L42" s="62">
        <v>10.4</v>
      </c>
      <c r="M42" s="62">
        <v>90.42</v>
      </c>
      <c r="N42" s="62">
        <v>90.42</v>
      </c>
      <c r="O42" s="63">
        <v>0.08</v>
      </c>
      <c r="P42" s="69">
        <v>0.05</v>
      </c>
      <c r="Q42" s="63">
        <v>0.04</v>
      </c>
      <c r="R42" s="69">
        <v>0.02</v>
      </c>
      <c r="S42" s="63">
        <v>0</v>
      </c>
      <c r="T42" s="62">
        <f>S42*25/45</f>
        <v>0</v>
      </c>
      <c r="U42" s="65">
        <v>13.6</v>
      </c>
      <c r="V42" s="66">
        <v>8.6</v>
      </c>
      <c r="W42" s="65">
        <v>0.81</v>
      </c>
      <c r="X42" s="66">
        <v>0.49</v>
      </c>
      <c r="Y42" s="30"/>
      <c r="Z42" s="30"/>
      <c r="AA42" s="30"/>
      <c r="AB42" s="30"/>
      <c r="AC42" s="30"/>
      <c r="AD42" s="30"/>
    </row>
    <row r="43" spans="1:33" ht="13.5" customHeight="1">
      <c r="A43" s="127" t="s">
        <v>109</v>
      </c>
      <c r="B43" s="59" t="s">
        <v>142</v>
      </c>
      <c r="C43" s="60" t="s">
        <v>21</v>
      </c>
      <c r="D43" s="60" t="s">
        <v>22</v>
      </c>
      <c r="E43" s="19">
        <v>6.72</v>
      </c>
      <c r="F43" s="19">
        <v>5.04</v>
      </c>
      <c r="G43" s="61">
        <v>5.76</v>
      </c>
      <c r="H43" s="61">
        <v>4.32</v>
      </c>
      <c r="I43" s="61">
        <v>6.64</v>
      </c>
      <c r="J43" s="61">
        <v>4.98</v>
      </c>
      <c r="K43" s="61">
        <v>19.28</v>
      </c>
      <c r="L43" s="61">
        <f>K43*150/200</f>
        <v>14.46</v>
      </c>
      <c r="M43" s="61">
        <v>160</v>
      </c>
      <c r="N43" s="61">
        <v>120</v>
      </c>
      <c r="O43" s="62">
        <v>0.09</v>
      </c>
      <c r="P43" s="61">
        <f>O43*150/200</f>
        <v>0.0675</v>
      </c>
      <c r="Q43" s="62">
        <v>0.14</v>
      </c>
      <c r="R43" s="61">
        <f>Q43*150/200</f>
        <v>0.10500000000000002</v>
      </c>
      <c r="S43" s="62">
        <v>0.9</v>
      </c>
      <c r="T43" s="61">
        <v>0.67</v>
      </c>
      <c r="U43" s="62">
        <v>129.32</v>
      </c>
      <c r="V43" s="61">
        <f>U43*150/200</f>
        <v>96.99</v>
      </c>
      <c r="W43" s="62">
        <v>0.42</v>
      </c>
      <c r="X43" s="141">
        <f>W43*150/200</f>
        <v>0.315</v>
      </c>
      <c r="Y43" s="83"/>
      <c r="Z43" s="22"/>
      <c r="AA43" s="22"/>
      <c r="AB43" s="22"/>
      <c r="AC43" s="22"/>
      <c r="AD43" s="22"/>
      <c r="AE43" s="22"/>
      <c r="AF43" s="22"/>
      <c r="AG43" s="22"/>
    </row>
    <row r="44" spans="1:31" ht="15.75" customHeight="1">
      <c r="A44" s="127" t="s">
        <v>50</v>
      </c>
      <c r="B44" s="59" t="s">
        <v>40</v>
      </c>
      <c r="C44" s="60" t="s">
        <v>26</v>
      </c>
      <c r="D44" s="60" t="s">
        <v>22</v>
      </c>
      <c r="E44" s="61">
        <v>5.92</v>
      </c>
      <c r="F44" s="61">
        <v>4.78</v>
      </c>
      <c r="G44" s="61">
        <v>2.85</v>
      </c>
      <c r="H44" s="62">
        <v>2.34</v>
      </c>
      <c r="I44" s="61">
        <v>2.41</v>
      </c>
      <c r="J44" s="62">
        <v>2</v>
      </c>
      <c r="K44" s="61">
        <v>14.36</v>
      </c>
      <c r="L44" s="62">
        <v>10.63</v>
      </c>
      <c r="M44" s="61">
        <v>91</v>
      </c>
      <c r="N44" s="62">
        <v>70</v>
      </c>
      <c r="O44" s="61">
        <f>P44*180/150</f>
        <v>0.012</v>
      </c>
      <c r="P44" s="69">
        <v>0.01</v>
      </c>
      <c r="Q44" s="61">
        <f>R44*180/150</f>
        <v>0.084</v>
      </c>
      <c r="R44" s="69">
        <v>0.07</v>
      </c>
      <c r="S44" s="61">
        <v>1.17</v>
      </c>
      <c r="T44" s="62">
        <f>S44*150/180</f>
        <v>0.975</v>
      </c>
      <c r="U44" s="61">
        <f>V44*180/150</f>
        <v>57.516</v>
      </c>
      <c r="V44" s="69">
        <v>47.93</v>
      </c>
      <c r="W44" s="61">
        <f>X44*180/150</f>
        <v>0.264</v>
      </c>
      <c r="X44" s="69">
        <v>0.22</v>
      </c>
      <c r="Y44" s="22"/>
      <c r="Z44" s="22"/>
      <c r="AA44" s="22"/>
      <c r="AB44" s="22"/>
      <c r="AC44" s="22"/>
      <c r="AD44" s="22"/>
      <c r="AE44" s="22"/>
    </row>
    <row r="45" spans="1:32" ht="15" customHeight="1">
      <c r="A45" s="16"/>
      <c r="B45" s="17" t="s">
        <v>23</v>
      </c>
      <c r="C45" s="18"/>
      <c r="D45" s="18"/>
      <c r="E45" s="28">
        <f>SUM(E42:E44)</f>
        <v>16.67</v>
      </c>
      <c r="F45" s="28">
        <f>SUM(F42:F44)</f>
        <v>13.850000000000001</v>
      </c>
      <c r="G45" s="28">
        <f aca="true" t="shared" si="9" ref="G45:T45">SUM(G42:G44)</f>
        <v>10.24</v>
      </c>
      <c r="H45" s="28">
        <f t="shared" si="9"/>
        <v>8.29</v>
      </c>
      <c r="I45" s="28">
        <f t="shared" si="9"/>
        <v>13.75</v>
      </c>
      <c r="J45" s="28">
        <f t="shared" si="9"/>
        <v>11.68</v>
      </c>
      <c r="K45" s="28">
        <f t="shared" si="9"/>
        <v>44.04</v>
      </c>
      <c r="L45" s="28">
        <f t="shared" si="9"/>
        <v>35.49</v>
      </c>
      <c r="M45" s="28">
        <f t="shared" si="9"/>
        <v>341.42</v>
      </c>
      <c r="N45" s="28">
        <f t="shared" si="9"/>
        <v>280.42</v>
      </c>
      <c r="O45" s="28">
        <f t="shared" si="9"/>
        <v>0.182</v>
      </c>
      <c r="P45" s="28">
        <f t="shared" si="9"/>
        <v>0.1275</v>
      </c>
      <c r="Q45" s="28">
        <f t="shared" si="9"/>
        <v>0.264</v>
      </c>
      <c r="R45" s="28">
        <f t="shared" si="9"/>
        <v>0.19500000000000003</v>
      </c>
      <c r="S45" s="28">
        <f t="shared" si="9"/>
        <v>2.07</v>
      </c>
      <c r="T45" s="28">
        <f t="shared" si="9"/>
        <v>1.645</v>
      </c>
      <c r="U45" s="28">
        <f aca="true" t="shared" si="10" ref="U45:AB45">SUM(U42:U44)</f>
        <v>200.43599999999998</v>
      </c>
      <c r="V45" s="28">
        <f t="shared" si="10"/>
        <v>153.51999999999998</v>
      </c>
      <c r="W45" s="28">
        <f t="shared" si="10"/>
        <v>1.494</v>
      </c>
      <c r="X45" s="28">
        <f t="shared" si="10"/>
        <v>1.025</v>
      </c>
      <c r="Y45" s="28">
        <f t="shared" si="10"/>
        <v>0</v>
      </c>
      <c r="Z45" s="28">
        <f t="shared" si="10"/>
        <v>0</v>
      </c>
      <c r="AA45" s="28">
        <f t="shared" si="10"/>
        <v>0</v>
      </c>
      <c r="AB45" s="28">
        <f t="shared" si="10"/>
        <v>0</v>
      </c>
      <c r="AC45" s="75"/>
      <c r="AD45" s="22"/>
      <c r="AE45" s="22"/>
      <c r="AF45" s="22"/>
    </row>
    <row r="46" spans="1:32" ht="15" customHeight="1">
      <c r="A46" s="16"/>
      <c r="B46" s="90" t="s">
        <v>41</v>
      </c>
      <c r="C46" s="18"/>
      <c r="D46" s="18"/>
      <c r="E46" s="19"/>
      <c r="F46" s="19"/>
      <c r="G46" s="19"/>
      <c r="H46" s="20"/>
      <c r="I46" s="20"/>
      <c r="J46" s="20"/>
      <c r="K46" s="20"/>
      <c r="L46" s="20"/>
      <c r="M46" s="20"/>
      <c r="N46" s="20"/>
      <c r="O46" s="29"/>
      <c r="P46" s="29"/>
      <c r="Q46" s="29"/>
      <c r="R46" s="29"/>
      <c r="S46" s="29"/>
      <c r="T46" s="29"/>
      <c r="U46" s="29"/>
      <c r="V46" s="29"/>
      <c r="W46" s="29"/>
      <c r="X46" s="79"/>
      <c r="Y46" s="22"/>
      <c r="Z46" s="37"/>
      <c r="AA46" s="37"/>
      <c r="AB46" s="37"/>
      <c r="AC46" s="22"/>
      <c r="AD46" s="22"/>
      <c r="AE46" s="22"/>
      <c r="AF46" s="22"/>
    </row>
    <row r="47" spans="1:31" s="32" customFormat="1" ht="15" customHeight="1">
      <c r="A47" s="128" t="s">
        <v>25</v>
      </c>
      <c r="B47" s="17" t="s">
        <v>63</v>
      </c>
      <c r="C47" s="18" t="s">
        <v>141</v>
      </c>
      <c r="D47" s="18" t="s">
        <v>141</v>
      </c>
      <c r="E47" s="19">
        <v>4.59</v>
      </c>
      <c r="F47" s="19">
        <v>4.59</v>
      </c>
      <c r="G47" s="25">
        <v>0</v>
      </c>
      <c r="H47" s="26">
        <v>0</v>
      </c>
      <c r="I47" s="25">
        <f>J47*180/150</f>
        <v>0</v>
      </c>
      <c r="J47" s="26">
        <v>0</v>
      </c>
      <c r="K47" s="25">
        <v>10.2</v>
      </c>
      <c r="L47" s="26">
        <v>10.2</v>
      </c>
      <c r="M47" s="25">
        <v>40.8</v>
      </c>
      <c r="N47" s="26">
        <v>40.8</v>
      </c>
      <c r="O47" s="25">
        <f>P47*180/150</f>
        <v>0</v>
      </c>
      <c r="P47" s="26">
        <v>0</v>
      </c>
      <c r="Q47" s="25">
        <f>R47*180/150</f>
        <v>0.024</v>
      </c>
      <c r="R47" s="26">
        <v>0.02</v>
      </c>
      <c r="S47" s="25">
        <v>3.4</v>
      </c>
      <c r="T47" s="26">
        <v>3.4</v>
      </c>
      <c r="U47" s="25">
        <f>V47*180/150</f>
        <v>9.996</v>
      </c>
      <c r="V47" s="26">
        <v>8.33</v>
      </c>
      <c r="W47" s="25">
        <f>X47*180/150</f>
        <v>0.252</v>
      </c>
      <c r="X47" s="81">
        <v>0.21</v>
      </c>
      <c r="Y47" s="37"/>
      <c r="Z47" s="37"/>
      <c r="AA47" s="37"/>
      <c r="AB47" s="37"/>
      <c r="AC47" s="37"/>
      <c r="AD47" s="37"/>
      <c r="AE47" s="37"/>
    </row>
    <row r="48" spans="1:32" ht="15" customHeight="1">
      <c r="A48" s="16"/>
      <c r="B48" s="17" t="s">
        <v>23</v>
      </c>
      <c r="C48" s="18"/>
      <c r="D48" s="18"/>
      <c r="E48" s="28">
        <f>SUM(E47)</f>
        <v>4.59</v>
      </c>
      <c r="F48" s="28">
        <f>SUM(F47)</f>
        <v>4.59</v>
      </c>
      <c r="G48" s="28">
        <f aca="true" t="shared" si="11" ref="G48:S48">SUM(G47)</f>
        <v>0</v>
      </c>
      <c r="H48" s="28">
        <f t="shared" si="11"/>
        <v>0</v>
      </c>
      <c r="I48" s="28">
        <f t="shared" si="11"/>
        <v>0</v>
      </c>
      <c r="J48" s="28">
        <f t="shared" si="11"/>
        <v>0</v>
      </c>
      <c r="K48" s="28">
        <f t="shared" si="11"/>
        <v>10.2</v>
      </c>
      <c r="L48" s="28">
        <f t="shared" si="11"/>
        <v>10.2</v>
      </c>
      <c r="M48" s="28">
        <f t="shared" si="11"/>
        <v>40.8</v>
      </c>
      <c r="N48" s="28">
        <f t="shared" si="11"/>
        <v>40.8</v>
      </c>
      <c r="O48" s="28">
        <f t="shared" si="11"/>
        <v>0</v>
      </c>
      <c r="P48" s="28">
        <f t="shared" si="11"/>
        <v>0</v>
      </c>
      <c r="Q48" s="28">
        <f t="shared" si="11"/>
        <v>0.024</v>
      </c>
      <c r="R48" s="28">
        <f t="shared" si="11"/>
        <v>0.02</v>
      </c>
      <c r="S48" s="28">
        <f t="shared" si="11"/>
        <v>3.4</v>
      </c>
      <c r="T48" s="28">
        <f>SUM(T47)</f>
        <v>3.4</v>
      </c>
      <c r="U48" s="28">
        <f aca="true" t="shared" si="12" ref="U48:AB48">SUM(U47)</f>
        <v>9.996</v>
      </c>
      <c r="V48" s="28">
        <f t="shared" si="12"/>
        <v>8.33</v>
      </c>
      <c r="W48" s="28">
        <f t="shared" si="12"/>
        <v>0.252</v>
      </c>
      <c r="X48" s="28">
        <f t="shared" si="12"/>
        <v>0.21</v>
      </c>
      <c r="Y48" s="28">
        <f t="shared" si="12"/>
        <v>0</v>
      </c>
      <c r="Z48" s="28">
        <f t="shared" si="12"/>
        <v>0</v>
      </c>
      <c r="AA48" s="28">
        <f t="shared" si="12"/>
        <v>0</v>
      </c>
      <c r="AB48" s="28">
        <f t="shared" si="12"/>
        <v>0</v>
      </c>
      <c r="AC48" s="75"/>
      <c r="AD48" s="22"/>
      <c r="AE48" s="22"/>
      <c r="AF48" s="22"/>
    </row>
    <row r="49" spans="1:32" ht="15" customHeight="1">
      <c r="A49" s="16"/>
      <c r="B49" s="90" t="s">
        <v>27</v>
      </c>
      <c r="C49" s="18"/>
      <c r="D49" s="18"/>
      <c r="E49" s="19"/>
      <c r="F49" s="19"/>
      <c r="G49" s="19"/>
      <c r="H49" s="20"/>
      <c r="I49" s="20"/>
      <c r="J49" s="20"/>
      <c r="K49" s="20"/>
      <c r="L49" s="20"/>
      <c r="M49" s="20"/>
      <c r="N49" s="20"/>
      <c r="O49" s="29"/>
      <c r="P49" s="29"/>
      <c r="Q49" s="29"/>
      <c r="R49" s="29"/>
      <c r="S49" s="29"/>
      <c r="T49" s="29"/>
      <c r="U49" s="29"/>
      <c r="V49" s="29"/>
      <c r="W49" s="29"/>
      <c r="X49" s="79"/>
      <c r="Y49" s="22"/>
      <c r="Z49" s="37"/>
      <c r="AA49" s="37"/>
      <c r="AB49" s="37"/>
      <c r="AC49" s="22"/>
      <c r="AD49" s="22"/>
      <c r="AE49" s="22"/>
      <c r="AF49" s="22"/>
    </row>
    <row r="50" spans="1:24" ht="24" customHeight="1">
      <c r="A50" s="147" t="s">
        <v>161</v>
      </c>
      <c r="B50" s="59" t="s">
        <v>162</v>
      </c>
      <c r="C50" s="60" t="s">
        <v>163</v>
      </c>
      <c r="D50" s="60" t="s">
        <v>164</v>
      </c>
      <c r="E50" s="61">
        <v>4.31</v>
      </c>
      <c r="F50" s="61">
        <v>3.24</v>
      </c>
      <c r="G50" s="61">
        <v>0.5</v>
      </c>
      <c r="H50" s="62">
        <f>G50*45/60</f>
        <v>0.375</v>
      </c>
      <c r="I50" s="62">
        <v>2.25</v>
      </c>
      <c r="J50" s="62">
        <f>I50*45/60</f>
        <v>1.6875</v>
      </c>
      <c r="K50" s="62">
        <v>3.61</v>
      </c>
      <c r="L50" s="62">
        <f>K50*45/60</f>
        <v>2.7075</v>
      </c>
      <c r="M50" s="62">
        <v>36.65</v>
      </c>
      <c r="N50" s="62">
        <f>M50*45/60</f>
        <v>27.4875</v>
      </c>
      <c r="O50" s="62">
        <v>0</v>
      </c>
      <c r="P50" s="62">
        <f>O50*45/60</f>
        <v>0</v>
      </c>
      <c r="Q50" s="62">
        <v>0</v>
      </c>
      <c r="R50" s="62">
        <f>Q50*45/60</f>
        <v>0</v>
      </c>
      <c r="S50" s="62">
        <v>10.86</v>
      </c>
      <c r="T50" s="62">
        <f>S50*45/60</f>
        <v>8.145</v>
      </c>
      <c r="U50" s="62">
        <v>37.322</v>
      </c>
      <c r="V50" s="62">
        <f>U50*45/60</f>
        <v>27.991500000000006</v>
      </c>
      <c r="W50" s="62">
        <v>0.96</v>
      </c>
      <c r="X50" s="62">
        <f>W50*45/60</f>
        <v>0.72</v>
      </c>
    </row>
    <row r="51" spans="1:31" s="31" customFormat="1" ht="25.5">
      <c r="A51" s="127" t="s">
        <v>125</v>
      </c>
      <c r="B51" s="64" t="s">
        <v>126</v>
      </c>
      <c r="C51" s="60" t="s">
        <v>176</v>
      </c>
      <c r="D51" s="60" t="s">
        <v>177</v>
      </c>
      <c r="E51" s="61">
        <v>7.22</v>
      </c>
      <c r="F51" s="61">
        <v>5.64</v>
      </c>
      <c r="G51" s="63">
        <v>1.9</v>
      </c>
      <c r="H51" s="63">
        <v>1.46</v>
      </c>
      <c r="I51" s="63">
        <v>4.35</v>
      </c>
      <c r="J51" s="63">
        <v>3.45</v>
      </c>
      <c r="K51" s="63">
        <v>10.31</v>
      </c>
      <c r="L51" s="63">
        <v>7.77</v>
      </c>
      <c r="M51" s="63">
        <v>88.02</v>
      </c>
      <c r="N51" s="63">
        <v>68.02</v>
      </c>
      <c r="O51" s="62">
        <v>0.1</v>
      </c>
      <c r="P51" s="63">
        <f>O51*163/213</f>
        <v>0.07652582159624413</v>
      </c>
      <c r="Q51" s="62">
        <v>0.05</v>
      </c>
      <c r="R51" s="63">
        <f>Q51*163/213</f>
        <v>0.038262910798122066</v>
      </c>
      <c r="S51" s="62">
        <v>9.85</v>
      </c>
      <c r="T51" s="63">
        <v>7.48</v>
      </c>
      <c r="U51" s="62">
        <v>32.89</v>
      </c>
      <c r="V51" s="63">
        <f>U51*163/213</f>
        <v>25.169342723004693</v>
      </c>
      <c r="W51" s="62">
        <v>1.07</v>
      </c>
      <c r="X51" s="63">
        <f>W51*163/213</f>
        <v>0.8188262910798122</v>
      </c>
      <c r="Z51" s="30"/>
      <c r="AA51" s="30"/>
      <c r="AB51" s="30"/>
      <c r="AC51" s="30"/>
      <c r="AD51" s="30"/>
      <c r="AE51" s="30"/>
    </row>
    <row r="52" spans="1:31" s="36" customFormat="1" ht="24" customHeight="1">
      <c r="A52" s="128" t="s">
        <v>86</v>
      </c>
      <c r="B52" s="23" t="s">
        <v>87</v>
      </c>
      <c r="C52" s="18" t="s">
        <v>28</v>
      </c>
      <c r="D52" s="18" t="s">
        <v>28</v>
      </c>
      <c r="E52" s="19">
        <v>16.34</v>
      </c>
      <c r="F52" s="19">
        <v>16.34</v>
      </c>
      <c r="G52" s="19">
        <v>6.6</v>
      </c>
      <c r="H52" s="19">
        <v>6.6</v>
      </c>
      <c r="I52" s="19">
        <v>9</v>
      </c>
      <c r="J52" s="20">
        <v>9</v>
      </c>
      <c r="K52" s="20">
        <v>1.8</v>
      </c>
      <c r="L52" s="20">
        <v>1.8</v>
      </c>
      <c r="M52" s="20">
        <v>115</v>
      </c>
      <c r="N52" s="20">
        <v>115</v>
      </c>
      <c r="O52" s="29">
        <v>0.05</v>
      </c>
      <c r="P52" s="29">
        <v>0.05</v>
      </c>
      <c r="Q52" s="137">
        <v>0.08</v>
      </c>
      <c r="R52" s="137">
        <v>0.08</v>
      </c>
      <c r="S52" s="137">
        <v>0.35</v>
      </c>
      <c r="T52" s="137">
        <v>0.35</v>
      </c>
      <c r="U52" s="137">
        <v>77.36</v>
      </c>
      <c r="V52" s="137">
        <v>77.36</v>
      </c>
      <c r="W52" s="137">
        <v>1.17</v>
      </c>
      <c r="X52" s="138">
        <v>1.17</v>
      </c>
      <c r="Y52" s="107"/>
      <c r="Z52" s="105"/>
      <c r="AA52" s="105"/>
      <c r="AB52" s="105"/>
      <c r="AC52" s="105"/>
      <c r="AD52" s="105"/>
      <c r="AE52" s="105"/>
    </row>
    <row r="53" spans="1:31" ht="15" customHeight="1">
      <c r="A53" s="128" t="s">
        <v>48</v>
      </c>
      <c r="B53" s="23" t="s">
        <v>49</v>
      </c>
      <c r="C53" s="18" t="s">
        <v>61</v>
      </c>
      <c r="D53" s="18" t="s">
        <v>89</v>
      </c>
      <c r="E53" s="40">
        <v>3.33</v>
      </c>
      <c r="F53" s="40">
        <v>2.56</v>
      </c>
      <c r="G53" s="20">
        <v>4.78</v>
      </c>
      <c r="H53" s="20">
        <v>3.82</v>
      </c>
      <c r="I53" s="20">
        <v>4.72</v>
      </c>
      <c r="J53" s="20">
        <v>3.39</v>
      </c>
      <c r="K53" s="20">
        <v>25.99</v>
      </c>
      <c r="L53" s="20">
        <v>20.79</v>
      </c>
      <c r="M53" s="20">
        <v>165.56</v>
      </c>
      <c r="N53" s="20">
        <v>129</v>
      </c>
      <c r="O53" s="25">
        <v>0.09</v>
      </c>
      <c r="P53" s="20">
        <f>O53/1.5</f>
        <v>0.06</v>
      </c>
      <c r="Q53" s="25">
        <v>0.06</v>
      </c>
      <c r="R53" s="20">
        <f>Q53/1.5</f>
        <v>0.04</v>
      </c>
      <c r="S53" s="25">
        <v>0</v>
      </c>
      <c r="T53" s="20">
        <f>S53/1.5</f>
        <v>0</v>
      </c>
      <c r="U53" s="25">
        <v>12.89</v>
      </c>
      <c r="V53" s="20">
        <f>U53/1.5</f>
        <v>8.593333333333334</v>
      </c>
      <c r="W53" s="25">
        <v>0.78</v>
      </c>
      <c r="X53" s="77">
        <f>W53/1.5</f>
        <v>0.52</v>
      </c>
      <c r="Y53" s="22"/>
      <c r="Z53" s="22"/>
      <c r="AA53" s="22"/>
      <c r="AB53" s="22"/>
      <c r="AC53" s="22"/>
      <c r="AD53" s="22"/>
      <c r="AE53" s="22"/>
    </row>
    <row r="54" spans="1:33" ht="15" customHeight="1">
      <c r="A54" s="128" t="s">
        <v>130</v>
      </c>
      <c r="B54" s="135" t="s">
        <v>131</v>
      </c>
      <c r="C54" s="72" t="s">
        <v>21</v>
      </c>
      <c r="D54" s="72" t="s">
        <v>22</v>
      </c>
      <c r="E54" s="34">
        <v>2.46</v>
      </c>
      <c r="F54" s="136">
        <v>1.85</v>
      </c>
      <c r="G54" s="25">
        <v>0.2</v>
      </c>
      <c r="H54" s="26">
        <f>G54*150/200</f>
        <v>0.15</v>
      </c>
      <c r="I54" s="25">
        <v>0</v>
      </c>
      <c r="J54" s="26">
        <f>I54*150/200</f>
        <v>0</v>
      </c>
      <c r="K54" s="25">
        <v>21.6</v>
      </c>
      <c r="L54" s="26">
        <f>K54*150/200</f>
        <v>16.2</v>
      </c>
      <c r="M54" s="25">
        <v>87.2</v>
      </c>
      <c r="N54" s="26">
        <f>M54*150/200</f>
        <v>65.4</v>
      </c>
      <c r="O54" s="25">
        <v>0.01</v>
      </c>
      <c r="P54" s="20">
        <f>O54*150/200</f>
        <v>0.0075</v>
      </c>
      <c r="Q54" s="25">
        <v>0.01</v>
      </c>
      <c r="R54" s="20">
        <f>Q54*150/200</f>
        <v>0.0075</v>
      </c>
      <c r="S54" s="25">
        <v>25.8</v>
      </c>
      <c r="T54" s="20">
        <f>S54*150/200</f>
        <v>19.35</v>
      </c>
      <c r="U54" s="25">
        <v>11.5</v>
      </c>
      <c r="V54" s="20">
        <f>U54*150/200</f>
        <v>8.625</v>
      </c>
      <c r="W54" s="112">
        <v>0.48</v>
      </c>
      <c r="X54" s="39">
        <f>W54*150/200</f>
        <v>0.36</v>
      </c>
      <c r="Y54" s="83"/>
      <c r="Z54" s="22"/>
      <c r="AA54" s="22"/>
      <c r="AB54" s="22"/>
      <c r="AC54" s="22"/>
      <c r="AD54" s="22"/>
      <c r="AE54" s="22"/>
      <c r="AF54" s="22"/>
      <c r="AG54" s="22"/>
    </row>
    <row r="55" spans="1:31" s="68" customFormat="1" ht="15" customHeight="1">
      <c r="A55" s="127"/>
      <c r="B55" s="59" t="s">
        <v>30</v>
      </c>
      <c r="C55" s="60" t="s">
        <v>31</v>
      </c>
      <c r="D55" s="60" t="s">
        <v>31</v>
      </c>
      <c r="E55" s="61">
        <v>1.11</v>
      </c>
      <c r="F55" s="61">
        <v>1.11</v>
      </c>
      <c r="G55" s="61">
        <v>1.6</v>
      </c>
      <c r="H55" s="61">
        <v>1.6</v>
      </c>
      <c r="I55" s="61">
        <v>0.4</v>
      </c>
      <c r="J55" s="61">
        <v>0.4</v>
      </c>
      <c r="K55" s="61">
        <v>10</v>
      </c>
      <c r="L55" s="61">
        <v>10</v>
      </c>
      <c r="M55" s="62">
        <v>54</v>
      </c>
      <c r="N55" s="62">
        <v>54</v>
      </c>
      <c r="O55" s="65">
        <v>0.04</v>
      </c>
      <c r="P55" s="66">
        <v>0.04</v>
      </c>
      <c r="Q55" s="65">
        <v>0.02</v>
      </c>
      <c r="R55" s="66">
        <v>0.02</v>
      </c>
      <c r="S55" s="65">
        <v>0</v>
      </c>
      <c r="T55" s="66">
        <v>0</v>
      </c>
      <c r="U55" s="65">
        <v>7.4</v>
      </c>
      <c r="V55" s="66">
        <v>7.4</v>
      </c>
      <c r="W55" s="65">
        <v>0.56</v>
      </c>
      <c r="X55" s="66">
        <v>0.56</v>
      </c>
      <c r="Y55" s="67"/>
      <c r="Z55" s="67"/>
      <c r="AA55" s="67"/>
      <c r="AB55" s="67"/>
      <c r="AC55" s="67"/>
      <c r="AD55" s="67"/>
      <c r="AE55" s="67"/>
    </row>
    <row r="56" spans="1:31" ht="15" customHeight="1">
      <c r="A56" s="127"/>
      <c r="B56" s="59" t="s">
        <v>32</v>
      </c>
      <c r="C56" s="60" t="s">
        <v>80</v>
      </c>
      <c r="D56" s="60" t="s">
        <v>81</v>
      </c>
      <c r="E56" s="61">
        <v>2.09</v>
      </c>
      <c r="F56" s="61">
        <v>1.83</v>
      </c>
      <c r="G56" s="61">
        <v>3.25</v>
      </c>
      <c r="H56" s="62">
        <v>2.84</v>
      </c>
      <c r="I56" s="62">
        <v>0.46</v>
      </c>
      <c r="J56" s="62">
        <f>I56*40.6/46</f>
        <v>0.406</v>
      </c>
      <c r="K56" s="62">
        <v>20.88</v>
      </c>
      <c r="L56" s="62">
        <v>18.27</v>
      </c>
      <c r="M56" s="62">
        <v>102.08</v>
      </c>
      <c r="N56" s="62">
        <v>89.32</v>
      </c>
      <c r="O56" s="63">
        <v>0.06</v>
      </c>
      <c r="P56" s="69">
        <v>0.04</v>
      </c>
      <c r="Q56" s="63">
        <v>0.04</v>
      </c>
      <c r="R56" s="69">
        <v>0.03</v>
      </c>
      <c r="S56" s="63">
        <v>0</v>
      </c>
      <c r="T56" s="62">
        <f>S56*40.6/46</f>
        <v>0</v>
      </c>
      <c r="U56" s="65">
        <v>17</v>
      </c>
      <c r="V56" s="66">
        <v>13.6</v>
      </c>
      <c r="W56" s="65">
        <v>1.15</v>
      </c>
      <c r="X56" s="66">
        <v>0.92</v>
      </c>
      <c r="Y56" s="22"/>
      <c r="Z56" s="22"/>
      <c r="AA56" s="22"/>
      <c r="AB56" s="22"/>
      <c r="AC56" s="22"/>
      <c r="AD56" s="22"/>
      <c r="AE56" s="22"/>
    </row>
    <row r="57" spans="1:32" ht="15" customHeight="1">
      <c r="A57" s="16"/>
      <c r="B57" s="17" t="s">
        <v>23</v>
      </c>
      <c r="C57" s="18"/>
      <c r="D57" s="18"/>
      <c r="E57" s="28">
        <f>SUM(E50:E56)</f>
        <v>36.86</v>
      </c>
      <c r="F57" s="28">
        <f>SUM(F50:F56)</f>
        <v>32.57</v>
      </c>
      <c r="G57" s="28">
        <f aca="true" t="shared" si="13" ref="G57:R57">SUM(G50:G56)</f>
        <v>18.83</v>
      </c>
      <c r="H57" s="28">
        <f t="shared" si="13"/>
        <v>16.845</v>
      </c>
      <c r="I57" s="28">
        <f t="shared" si="13"/>
        <v>21.18</v>
      </c>
      <c r="J57" s="28">
        <f t="shared" si="13"/>
        <v>18.333499999999997</v>
      </c>
      <c r="K57" s="28">
        <f>SUM(K50:K56)+14</f>
        <v>108.19</v>
      </c>
      <c r="L57" s="28">
        <f>SUM(L50:L56)+0</f>
        <v>77.5375</v>
      </c>
      <c r="M57" s="28">
        <f t="shared" si="13"/>
        <v>648.5100000000001</v>
      </c>
      <c r="N57" s="28">
        <f t="shared" si="13"/>
        <v>548.2275</v>
      </c>
      <c r="O57" s="28">
        <f t="shared" si="13"/>
        <v>0.35</v>
      </c>
      <c r="P57" s="28">
        <f t="shared" si="13"/>
        <v>0.27402582159624417</v>
      </c>
      <c r="Q57" s="28">
        <f t="shared" si="13"/>
        <v>0.26</v>
      </c>
      <c r="R57" s="28">
        <f t="shared" si="13"/>
        <v>0.21576291079812207</v>
      </c>
      <c r="S57" s="28">
        <f>SUM(S50:S56)-1</f>
        <v>45.86</v>
      </c>
      <c r="T57" s="28">
        <f>SUM(T50:T56)-2</f>
        <v>33.325</v>
      </c>
      <c r="U57" s="28">
        <f aca="true" t="shared" si="14" ref="U57:AB57">SUM(U50:U56)</f>
        <v>196.362</v>
      </c>
      <c r="V57" s="28">
        <f t="shared" si="14"/>
        <v>168.73917605633804</v>
      </c>
      <c r="W57" s="28">
        <f t="shared" si="14"/>
        <v>6.170000000000002</v>
      </c>
      <c r="X57" s="28">
        <f t="shared" si="14"/>
        <v>5.068826291079812</v>
      </c>
      <c r="Y57" s="28">
        <f t="shared" si="14"/>
        <v>0</v>
      </c>
      <c r="Z57" s="28">
        <f t="shared" si="14"/>
        <v>0</v>
      </c>
      <c r="AA57" s="28">
        <f t="shared" si="14"/>
        <v>0</v>
      </c>
      <c r="AB57" s="28">
        <f t="shared" si="14"/>
        <v>0</v>
      </c>
      <c r="AC57" s="75"/>
      <c r="AD57" s="75"/>
      <c r="AE57" s="22"/>
      <c r="AF57" s="22"/>
    </row>
    <row r="58" spans="1:32" ht="15" customHeight="1">
      <c r="A58" s="16"/>
      <c r="B58" s="90" t="s">
        <v>42</v>
      </c>
      <c r="C58" s="18"/>
      <c r="D58" s="18"/>
      <c r="E58" s="19"/>
      <c r="F58" s="19"/>
      <c r="G58" s="19"/>
      <c r="H58" s="20"/>
      <c r="I58" s="20"/>
      <c r="J58" s="20"/>
      <c r="K58" s="20"/>
      <c r="L58" s="20"/>
      <c r="M58" s="20"/>
      <c r="N58" s="20"/>
      <c r="O58" s="29"/>
      <c r="P58" s="29"/>
      <c r="Q58" s="29"/>
      <c r="R58" s="29"/>
      <c r="S58" s="29"/>
      <c r="T58" s="29"/>
      <c r="U58" s="29"/>
      <c r="V58" s="29"/>
      <c r="W58" s="29"/>
      <c r="X58" s="79"/>
      <c r="Y58" s="22"/>
      <c r="Z58" s="37"/>
      <c r="AA58" s="37"/>
      <c r="AB58" s="37"/>
      <c r="AC58" s="22"/>
      <c r="AD58" s="22"/>
      <c r="AE58" s="22"/>
      <c r="AF58" s="22"/>
    </row>
    <row r="59" spans="1:31" ht="15" customHeight="1">
      <c r="A59" s="127" t="s">
        <v>34</v>
      </c>
      <c r="B59" s="59" t="s">
        <v>35</v>
      </c>
      <c r="C59" s="60" t="s">
        <v>26</v>
      </c>
      <c r="D59" s="60" t="s">
        <v>26</v>
      </c>
      <c r="E59" s="61">
        <v>10.36</v>
      </c>
      <c r="F59" s="61">
        <v>10.36</v>
      </c>
      <c r="G59" s="61">
        <v>5.31</v>
      </c>
      <c r="H59" s="62">
        <v>5.31</v>
      </c>
      <c r="I59" s="61">
        <v>4.5</v>
      </c>
      <c r="J59" s="62">
        <v>4.5</v>
      </c>
      <c r="K59" s="61">
        <v>8.91</v>
      </c>
      <c r="L59" s="62">
        <v>8.91</v>
      </c>
      <c r="M59" s="61">
        <v>97.38</v>
      </c>
      <c r="N59" s="62">
        <v>97.38</v>
      </c>
      <c r="O59" s="61">
        <v>0.07</v>
      </c>
      <c r="P59" s="62">
        <v>0.07</v>
      </c>
      <c r="Q59" s="61">
        <v>0.3</v>
      </c>
      <c r="R59" s="62">
        <v>0.3</v>
      </c>
      <c r="S59" s="61">
        <v>2.46</v>
      </c>
      <c r="T59" s="62">
        <v>2.46</v>
      </c>
      <c r="U59" s="61">
        <v>275.74</v>
      </c>
      <c r="V59" s="62">
        <v>275.74</v>
      </c>
      <c r="W59" s="61">
        <v>0.23</v>
      </c>
      <c r="X59" s="62">
        <v>0.23</v>
      </c>
      <c r="Y59" s="37"/>
      <c r="Z59" s="37"/>
      <c r="AA59" s="37"/>
      <c r="AB59" s="37"/>
      <c r="AC59" s="37"/>
      <c r="AD59" s="37"/>
      <c r="AE59" s="22"/>
    </row>
    <row r="60" spans="1:32" ht="15" customHeight="1">
      <c r="A60" s="16"/>
      <c r="B60" s="17" t="s">
        <v>23</v>
      </c>
      <c r="C60" s="18"/>
      <c r="D60" s="18"/>
      <c r="E60" s="28">
        <f>SUM(E59)</f>
        <v>10.36</v>
      </c>
      <c r="F60" s="28">
        <f>SUM(F59)</f>
        <v>10.36</v>
      </c>
      <c r="G60" s="28">
        <f aca="true" t="shared" si="15" ref="G60:T60">SUM(G59)</f>
        <v>5.31</v>
      </c>
      <c r="H60" s="28">
        <f t="shared" si="15"/>
        <v>5.31</v>
      </c>
      <c r="I60" s="28">
        <f t="shared" si="15"/>
        <v>4.5</v>
      </c>
      <c r="J60" s="28">
        <f t="shared" si="15"/>
        <v>4.5</v>
      </c>
      <c r="K60" s="28">
        <f t="shared" si="15"/>
        <v>8.91</v>
      </c>
      <c r="L60" s="28">
        <f t="shared" si="15"/>
        <v>8.91</v>
      </c>
      <c r="M60" s="28">
        <f t="shared" si="15"/>
        <v>97.38</v>
      </c>
      <c r="N60" s="28">
        <f t="shared" si="15"/>
        <v>97.38</v>
      </c>
      <c r="O60" s="28">
        <f t="shared" si="15"/>
        <v>0.07</v>
      </c>
      <c r="P60" s="28">
        <f t="shared" si="15"/>
        <v>0.07</v>
      </c>
      <c r="Q60" s="28">
        <f t="shared" si="15"/>
        <v>0.3</v>
      </c>
      <c r="R60" s="28">
        <f t="shared" si="15"/>
        <v>0.3</v>
      </c>
      <c r="S60" s="28">
        <f t="shared" si="15"/>
        <v>2.46</v>
      </c>
      <c r="T60" s="28">
        <f t="shared" si="15"/>
        <v>2.46</v>
      </c>
      <c r="U60" s="28">
        <f>SUM(U59)</f>
        <v>275.74</v>
      </c>
      <c r="V60" s="28">
        <f>SUM(V59)</f>
        <v>275.74</v>
      </c>
      <c r="W60" s="28">
        <f>SUM(W59)</f>
        <v>0.23</v>
      </c>
      <c r="X60" s="78">
        <f>SUM(X59)</f>
        <v>0.23</v>
      </c>
      <c r="Y60" s="75"/>
      <c r="Z60" s="75"/>
      <c r="AA60" s="75"/>
      <c r="AB60" s="75"/>
      <c r="AC60" s="75"/>
      <c r="AD60" s="75"/>
      <c r="AE60" s="22"/>
      <c r="AF60" s="22"/>
    </row>
    <row r="61" spans="1:32" ht="15" customHeight="1">
      <c r="A61" s="16"/>
      <c r="B61" s="90" t="s">
        <v>36</v>
      </c>
      <c r="C61" s="18"/>
      <c r="D61" s="18"/>
      <c r="E61" s="19"/>
      <c r="F61" s="19"/>
      <c r="G61" s="19"/>
      <c r="H61" s="20"/>
      <c r="I61" s="20"/>
      <c r="J61" s="20"/>
      <c r="K61" s="20"/>
      <c r="L61" s="20"/>
      <c r="M61" s="20"/>
      <c r="N61" s="20"/>
      <c r="O61" s="29"/>
      <c r="P61" s="29"/>
      <c r="Q61" s="29"/>
      <c r="R61" s="29"/>
      <c r="S61" s="29"/>
      <c r="T61" s="29"/>
      <c r="U61" s="29"/>
      <c r="V61" s="29"/>
      <c r="W61" s="29"/>
      <c r="X61" s="79"/>
      <c r="Y61" s="22"/>
      <c r="Z61" s="37"/>
      <c r="AA61" s="37"/>
      <c r="AB61" s="37"/>
      <c r="AC61" s="22"/>
      <c r="AD61" s="22"/>
      <c r="AE61" s="22"/>
      <c r="AF61" s="22"/>
    </row>
    <row r="62" spans="1:33" ht="15" customHeight="1">
      <c r="A62" s="128"/>
      <c r="B62" s="17" t="s">
        <v>44</v>
      </c>
      <c r="C62" s="18" t="s">
        <v>191</v>
      </c>
      <c r="D62" s="18" t="s">
        <v>192</v>
      </c>
      <c r="E62" s="19">
        <v>11.29</v>
      </c>
      <c r="F62" s="19">
        <v>11.06</v>
      </c>
      <c r="G62" s="19">
        <v>0.57</v>
      </c>
      <c r="H62" s="20">
        <f>G62*141/144</f>
        <v>0.558125</v>
      </c>
      <c r="I62" s="19">
        <v>0</v>
      </c>
      <c r="J62" s="20">
        <v>0</v>
      </c>
      <c r="K62" s="19">
        <v>13.93</v>
      </c>
      <c r="L62" s="20">
        <f>K62*141/144</f>
        <v>13.639791666666666</v>
      </c>
      <c r="M62" s="19">
        <v>54</v>
      </c>
      <c r="N62" s="20">
        <f>M62*141/144</f>
        <v>52.875</v>
      </c>
      <c r="O62" s="19">
        <v>0.02</v>
      </c>
      <c r="P62" s="20">
        <v>0.02</v>
      </c>
      <c r="Q62" s="19">
        <f>R62*160/150</f>
        <v>0.05333333333333334</v>
      </c>
      <c r="R62" s="20">
        <v>0.05</v>
      </c>
      <c r="S62" s="19">
        <v>22.74</v>
      </c>
      <c r="T62" s="20">
        <f>S62*141/144</f>
        <v>22.26625</v>
      </c>
      <c r="U62" s="19">
        <v>24</v>
      </c>
      <c r="V62" s="20">
        <v>24</v>
      </c>
      <c r="W62" s="19">
        <v>3.3</v>
      </c>
      <c r="X62" s="39">
        <v>3.3</v>
      </c>
      <c r="Y62" s="83"/>
      <c r="Z62" s="37"/>
      <c r="AA62" s="37"/>
      <c r="AB62" s="37"/>
      <c r="AC62" s="22"/>
      <c r="AD62" s="22"/>
      <c r="AE62" s="22"/>
      <c r="AF62" s="22"/>
      <c r="AG62" s="22"/>
    </row>
    <row r="63" spans="1:31" ht="26.25" customHeight="1">
      <c r="A63" s="134" t="s">
        <v>137</v>
      </c>
      <c r="B63" s="59" t="s">
        <v>138</v>
      </c>
      <c r="C63" s="60" t="s">
        <v>139</v>
      </c>
      <c r="D63" s="60" t="s">
        <v>67</v>
      </c>
      <c r="E63" s="61">
        <v>49.39</v>
      </c>
      <c r="F63" s="61">
        <v>33.82</v>
      </c>
      <c r="G63" s="61">
        <f>H63*150/100</f>
        <v>22.89</v>
      </c>
      <c r="H63" s="62">
        <v>15.26</v>
      </c>
      <c r="I63" s="61">
        <f>J63*150/100</f>
        <v>15.570000000000002</v>
      </c>
      <c r="J63" s="62">
        <v>10.38</v>
      </c>
      <c r="K63" s="61">
        <f>L63*150/100</f>
        <v>41.055</v>
      </c>
      <c r="L63" s="62">
        <v>27.37</v>
      </c>
      <c r="M63" s="61">
        <f>N63*150/100</f>
        <v>396</v>
      </c>
      <c r="N63" s="62">
        <v>264</v>
      </c>
      <c r="O63" s="61">
        <f>P63*150/100</f>
        <v>0.10500000000000002</v>
      </c>
      <c r="P63" s="62">
        <v>0.07</v>
      </c>
      <c r="Q63" s="61">
        <f>R63*150/100</f>
        <v>0.435</v>
      </c>
      <c r="R63" s="62">
        <v>0.29</v>
      </c>
      <c r="S63" s="61">
        <f>T63*150/100</f>
        <v>0.765</v>
      </c>
      <c r="T63" s="62">
        <v>0.51</v>
      </c>
      <c r="U63" s="61">
        <f>V63*150/100</f>
        <v>211.92</v>
      </c>
      <c r="V63" s="62">
        <v>141.28</v>
      </c>
      <c r="W63" s="61">
        <f>X63*150/100</f>
        <v>1.425</v>
      </c>
      <c r="X63" s="62">
        <v>0.95</v>
      </c>
      <c r="Y63" s="32"/>
      <c r="Z63" s="37"/>
      <c r="AA63" s="37"/>
      <c r="AB63" s="37"/>
      <c r="AC63" s="37"/>
      <c r="AD63" s="22"/>
      <c r="AE63" s="22"/>
    </row>
    <row r="64" spans="1:31" ht="15" customHeight="1">
      <c r="A64" s="128" t="s">
        <v>97</v>
      </c>
      <c r="B64" s="23" t="s">
        <v>98</v>
      </c>
      <c r="C64" s="18" t="s">
        <v>21</v>
      </c>
      <c r="D64" s="18" t="s">
        <v>22</v>
      </c>
      <c r="E64" s="19">
        <v>0.51</v>
      </c>
      <c r="F64" s="19">
        <v>0.38</v>
      </c>
      <c r="G64" s="19">
        <v>0.18</v>
      </c>
      <c r="H64" s="20">
        <v>0.13</v>
      </c>
      <c r="I64" s="19">
        <f>J64*200/150</f>
        <v>0</v>
      </c>
      <c r="J64" s="20">
        <v>0</v>
      </c>
      <c r="K64" s="19">
        <v>4.78</v>
      </c>
      <c r="L64" s="20">
        <v>3.58</v>
      </c>
      <c r="M64" s="19">
        <v>19.9</v>
      </c>
      <c r="N64" s="20">
        <v>14.92</v>
      </c>
      <c r="O64" s="19">
        <f>P64*200/150</f>
        <v>0.013333333333333334</v>
      </c>
      <c r="P64" s="29">
        <v>0.01</v>
      </c>
      <c r="Q64" s="19">
        <f>R64*200/150</f>
        <v>0.013333333333333334</v>
      </c>
      <c r="R64" s="29">
        <v>0.01</v>
      </c>
      <c r="S64" s="19">
        <v>0.04</v>
      </c>
      <c r="T64" s="29">
        <v>0.03</v>
      </c>
      <c r="U64" s="19">
        <f>V64*200/150</f>
        <v>5.053333333333334</v>
      </c>
      <c r="V64" s="29">
        <v>3.79</v>
      </c>
      <c r="W64" s="19">
        <f>X64*200/150</f>
        <v>0.84</v>
      </c>
      <c r="X64" s="79">
        <v>0.63</v>
      </c>
      <c r="Y64" s="22"/>
      <c r="Z64" s="22"/>
      <c r="AA64" s="22"/>
      <c r="AB64" s="22"/>
      <c r="AC64" s="22"/>
      <c r="AD64" s="22"/>
      <c r="AE64" s="22"/>
    </row>
    <row r="65" spans="1:31" s="68" customFormat="1" ht="15" customHeight="1">
      <c r="A65" s="127"/>
      <c r="B65" s="59" t="s">
        <v>30</v>
      </c>
      <c r="C65" s="60" t="s">
        <v>31</v>
      </c>
      <c r="D65" s="60" t="s">
        <v>31</v>
      </c>
      <c r="E65" s="61">
        <v>1.11</v>
      </c>
      <c r="F65" s="61">
        <v>1.11</v>
      </c>
      <c r="G65" s="61">
        <v>1.6</v>
      </c>
      <c r="H65" s="61">
        <v>1.6</v>
      </c>
      <c r="I65" s="61">
        <v>0.4</v>
      </c>
      <c r="J65" s="61">
        <v>0.4</v>
      </c>
      <c r="K65" s="61">
        <v>10</v>
      </c>
      <c r="L65" s="61">
        <v>10</v>
      </c>
      <c r="M65" s="62">
        <v>54</v>
      </c>
      <c r="N65" s="62">
        <v>54</v>
      </c>
      <c r="O65" s="65">
        <v>0.04</v>
      </c>
      <c r="P65" s="66">
        <v>0.04</v>
      </c>
      <c r="Q65" s="65">
        <v>0.02</v>
      </c>
      <c r="R65" s="66">
        <v>0.02</v>
      </c>
      <c r="S65" s="65">
        <v>0</v>
      </c>
      <c r="T65" s="66">
        <v>0</v>
      </c>
      <c r="U65" s="65">
        <v>7.4</v>
      </c>
      <c r="V65" s="66">
        <v>7.4</v>
      </c>
      <c r="W65" s="65">
        <v>0.56</v>
      </c>
      <c r="X65" s="66">
        <v>0.56</v>
      </c>
      <c r="Y65" s="67"/>
      <c r="Z65" s="67"/>
      <c r="AA65" s="67"/>
      <c r="AB65" s="67"/>
      <c r="AC65" s="67"/>
      <c r="AD65" s="67"/>
      <c r="AE65" s="67"/>
    </row>
    <row r="66" spans="1:32" ht="15" customHeight="1">
      <c r="A66" s="16"/>
      <c r="B66" s="17" t="s">
        <v>23</v>
      </c>
      <c r="C66" s="18"/>
      <c r="D66" s="18"/>
      <c r="E66" s="28">
        <f>SUM(E62:E65)</f>
        <v>62.3</v>
      </c>
      <c r="F66" s="28">
        <f>SUM(F62:F65)</f>
        <v>46.370000000000005</v>
      </c>
      <c r="G66" s="28">
        <f aca="true" t="shared" si="16" ref="G66:T66">SUM(G62:G65)</f>
        <v>25.240000000000002</v>
      </c>
      <c r="H66" s="28">
        <f t="shared" si="16"/>
        <v>17.548125000000002</v>
      </c>
      <c r="I66" s="28">
        <f t="shared" si="16"/>
        <v>15.970000000000002</v>
      </c>
      <c r="J66" s="28">
        <f t="shared" si="16"/>
        <v>10.780000000000001</v>
      </c>
      <c r="K66" s="28">
        <f t="shared" si="16"/>
        <v>69.765</v>
      </c>
      <c r="L66" s="28">
        <f t="shared" si="16"/>
        <v>54.58979166666666</v>
      </c>
      <c r="M66" s="28">
        <f t="shared" si="16"/>
        <v>523.9</v>
      </c>
      <c r="N66" s="28">
        <f t="shared" si="16"/>
        <v>385.795</v>
      </c>
      <c r="O66" s="28">
        <f t="shared" si="16"/>
        <v>0.17833333333333337</v>
      </c>
      <c r="P66" s="28">
        <f t="shared" si="16"/>
        <v>0.14</v>
      </c>
      <c r="Q66" s="28">
        <f t="shared" si="16"/>
        <v>0.5216666666666667</v>
      </c>
      <c r="R66" s="28">
        <f t="shared" si="16"/>
        <v>0.37</v>
      </c>
      <c r="S66" s="28">
        <f t="shared" si="16"/>
        <v>23.544999999999998</v>
      </c>
      <c r="T66" s="28">
        <f t="shared" si="16"/>
        <v>22.806250000000002</v>
      </c>
      <c r="U66" s="28">
        <f aca="true" t="shared" si="17" ref="U66:AB66">SUM(U62:U65)</f>
        <v>248.37333333333333</v>
      </c>
      <c r="V66" s="28">
        <f t="shared" si="17"/>
        <v>176.47</v>
      </c>
      <c r="W66" s="28">
        <f t="shared" si="17"/>
        <v>6.125</v>
      </c>
      <c r="X66" s="28">
        <f t="shared" si="17"/>
        <v>5.4399999999999995</v>
      </c>
      <c r="Y66" s="28">
        <f t="shared" si="17"/>
        <v>0</v>
      </c>
      <c r="Z66" s="28">
        <f t="shared" si="17"/>
        <v>0</v>
      </c>
      <c r="AA66" s="28">
        <f t="shared" si="17"/>
        <v>0</v>
      </c>
      <c r="AB66" s="28">
        <f t="shared" si="17"/>
        <v>0</v>
      </c>
      <c r="AC66" s="75"/>
      <c r="AD66" s="22"/>
      <c r="AE66" s="22"/>
      <c r="AF66" s="22"/>
    </row>
    <row r="67" spans="1:32" ht="15" customHeight="1">
      <c r="A67" s="16"/>
      <c r="B67" s="17" t="s">
        <v>37</v>
      </c>
      <c r="C67" s="18"/>
      <c r="D67" s="18"/>
      <c r="E67" s="28">
        <f>E66+E60+E57+E48+E45</f>
        <v>130.78</v>
      </c>
      <c r="F67" s="28">
        <f>F66+F60+F57+F48+F45</f>
        <v>107.74000000000001</v>
      </c>
      <c r="G67" s="28">
        <f aca="true" t="shared" si="18" ref="G67:T67">G66+G60+G57+G48+G45</f>
        <v>59.62</v>
      </c>
      <c r="H67" s="28">
        <f t="shared" si="18"/>
        <v>47.993125</v>
      </c>
      <c r="I67" s="28">
        <f t="shared" si="18"/>
        <v>55.400000000000006</v>
      </c>
      <c r="J67" s="28">
        <f t="shared" si="18"/>
        <v>45.2935</v>
      </c>
      <c r="K67" s="28">
        <f t="shared" si="18"/>
        <v>241.105</v>
      </c>
      <c r="L67" s="28">
        <f t="shared" si="18"/>
        <v>186.72729166666664</v>
      </c>
      <c r="M67" s="28">
        <f t="shared" si="18"/>
        <v>1652.01</v>
      </c>
      <c r="N67" s="28">
        <f t="shared" si="18"/>
        <v>1352.6225</v>
      </c>
      <c r="O67" s="28">
        <f t="shared" si="18"/>
        <v>0.7803333333333333</v>
      </c>
      <c r="P67" s="28">
        <f t="shared" si="18"/>
        <v>0.6115258215962442</v>
      </c>
      <c r="Q67" s="28">
        <f t="shared" si="18"/>
        <v>1.3696666666666668</v>
      </c>
      <c r="R67" s="28">
        <f t="shared" si="18"/>
        <v>1.100762910798122</v>
      </c>
      <c r="S67" s="28">
        <f t="shared" si="18"/>
        <v>77.335</v>
      </c>
      <c r="T67" s="28">
        <f t="shared" si="18"/>
        <v>63.636250000000004</v>
      </c>
      <c r="U67" s="28">
        <f>U66+U60+U57+U48+U45</f>
        <v>930.9073333333333</v>
      </c>
      <c r="V67" s="28">
        <f>V66+V60+V57+V48+V45</f>
        <v>782.7991760563381</v>
      </c>
      <c r="W67" s="28">
        <f>W66+W60+W57+W48+W45</f>
        <v>14.271000000000003</v>
      </c>
      <c r="X67" s="78">
        <f>X66+X60+X57+X48+X45</f>
        <v>11.973826291079813</v>
      </c>
      <c r="Y67" s="75"/>
      <c r="Z67" s="75"/>
      <c r="AA67" s="75"/>
      <c r="AB67" s="75"/>
      <c r="AC67" s="75"/>
      <c r="AD67" s="22"/>
      <c r="AE67" s="22"/>
      <c r="AF67" s="22"/>
    </row>
    <row r="68" spans="1:32" ht="15" customHeight="1">
      <c r="A68" s="16"/>
      <c r="B68" s="88" t="s">
        <v>184</v>
      </c>
      <c r="C68" s="18"/>
      <c r="D68" s="18"/>
      <c r="E68" s="28"/>
      <c r="F68" s="19"/>
      <c r="G68" s="19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79"/>
      <c r="Y68" s="22"/>
      <c r="Z68" s="37"/>
      <c r="AA68" s="37"/>
      <c r="AB68" s="37"/>
      <c r="AC68" s="22"/>
      <c r="AD68" s="22"/>
      <c r="AE68" s="22"/>
      <c r="AF68" s="22"/>
    </row>
    <row r="69" spans="1:32" ht="15" customHeight="1">
      <c r="A69" s="16"/>
      <c r="B69" s="90" t="s">
        <v>17</v>
      </c>
      <c r="C69" s="18"/>
      <c r="D69" s="18"/>
      <c r="E69" s="19"/>
      <c r="F69" s="19"/>
      <c r="G69" s="19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79"/>
      <c r="Y69" s="22"/>
      <c r="Z69" s="37"/>
      <c r="AA69" s="37"/>
      <c r="AB69" s="37"/>
      <c r="AC69" s="22"/>
      <c r="AD69" s="22"/>
      <c r="AE69" s="22"/>
      <c r="AF69" s="22"/>
    </row>
    <row r="70" spans="1:30" s="32" customFormat="1" ht="14.25" customHeight="1">
      <c r="A70" s="127" t="s">
        <v>69</v>
      </c>
      <c r="B70" s="59" t="s">
        <v>160</v>
      </c>
      <c r="C70" s="60" t="s">
        <v>93</v>
      </c>
      <c r="D70" s="60" t="s">
        <v>93</v>
      </c>
      <c r="E70" s="61">
        <v>4.35</v>
      </c>
      <c r="F70" s="61">
        <v>4.35</v>
      </c>
      <c r="G70" s="61">
        <v>2.9</v>
      </c>
      <c r="H70" s="62">
        <v>2.9</v>
      </c>
      <c r="I70" s="61">
        <v>1.95</v>
      </c>
      <c r="J70" s="62">
        <v>1.95</v>
      </c>
      <c r="K70" s="61">
        <v>10.4</v>
      </c>
      <c r="L70" s="62">
        <v>10.4</v>
      </c>
      <c r="M70" s="61">
        <v>70.75</v>
      </c>
      <c r="N70" s="62">
        <v>70.75</v>
      </c>
      <c r="O70" s="145">
        <v>0.08</v>
      </c>
      <c r="P70" s="145">
        <f>O70*40/60</f>
        <v>0.05333333333333334</v>
      </c>
      <c r="Q70" s="145">
        <v>0.06</v>
      </c>
      <c r="R70" s="145">
        <f>Q70*40/60</f>
        <v>0.04</v>
      </c>
      <c r="S70" s="61">
        <v>0.14</v>
      </c>
      <c r="T70" s="62">
        <v>0.14</v>
      </c>
      <c r="U70" s="62">
        <v>70.8</v>
      </c>
      <c r="V70" s="62">
        <f>U70*40/60</f>
        <v>47.2</v>
      </c>
      <c r="W70" s="62">
        <v>0.81</v>
      </c>
      <c r="X70" s="84">
        <f>W70*40/60</f>
        <v>0.5400000000000001</v>
      </c>
      <c r="Y70" s="82"/>
      <c r="Z70" s="37"/>
      <c r="AA70" s="37"/>
      <c r="AB70" s="37"/>
      <c r="AC70" s="37"/>
      <c r="AD70" s="37"/>
    </row>
    <row r="71" spans="1:31" ht="24.75" customHeight="1">
      <c r="A71" s="128" t="s">
        <v>45</v>
      </c>
      <c r="B71" s="17" t="s">
        <v>115</v>
      </c>
      <c r="C71" s="72" t="s">
        <v>99</v>
      </c>
      <c r="D71" s="72" t="s">
        <v>100</v>
      </c>
      <c r="E71" s="34">
        <v>12.03</v>
      </c>
      <c r="F71" s="34">
        <v>9.4</v>
      </c>
      <c r="G71" s="34">
        <v>3.1</v>
      </c>
      <c r="H71" s="34">
        <v>2.4</v>
      </c>
      <c r="I71" s="34">
        <v>5</v>
      </c>
      <c r="J71" s="34">
        <v>3.8</v>
      </c>
      <c r="K71" s="34">
        <v>21.1</v>
      </c>
      <c r="L71" s="34">
        <v>16</v>
      </c>
      <c r="M71" s="34">
        <v>140</v>
      </c>
      <c r="N71" s="34">
        <v>107.8</v>
      </c>
      <c r="O71" s="120">
        <v>0.1</v>
      </c>
      <c r="P71" s="124">
        <f>O71*150/200</f>
        <v>0.075</v>
      </c>
      <c r="Q71" s="120">
        <v>0.25</v>
      </c>
      <c r="R71" s="124">
        <f>Q71*150/200</f>
        <v>0.1875</v>
      </c>
      <c r="S71" s="120">
        <v>0</v>
      </c>
      <c r="T71" s="34">
        <f>S71*153/203</f>
        <v>0</v>
      </c>
      <c r="U71" s="25">
        <v>175.2</v>
      </c>
      <c r="V71" s="20">
        <v>164.9</v>
      </c>
      <c r="W71" s="25">
        <v>0.9</v>
      </c>
      <c r="X71" s="77">
        <f>W71*150/200</f>
        <v>0.675</v>
      </c>
      <c r="Y71" s="22"/>
      <c r="Z71" s="22"/>
      <c r="AA71" s="22"/>
      <c r="AB71" s="22"/>
      <c r="AC71" s="22"/>
      <c r="AD71" s="22"/>
      <c r="AE71" s="22"/>
    </row>
    <row r="72" spans="1:31" ht="15" customHeight="1">
      <c r="A72" s="127" t="s">
        <v>46</v>
      </c>
      <c r="B72" s="59" t="s">
        <v>47</v>
      </c>
      <c r="C72" s="60" t="s">
        <v>26</v>
      </c>
      <c r="D72" s="60" t="s">
        <v>22</v>
      </c>
      <c r="E72" s="61">
        <v>5.87</v>
      </c>
      <c r="F72" s="61">
        <v>4.89</v>
      </c>
      <c r="G72" s="63">
        <v>2.95</v>
      </c>
      <c r="H72" s="63">
        <v>2.46</v>
      </c>
      <c r="I72" s="63">
        <v>3.24</v>
      </c>
      <c r="J72" s="63">
        <v>2.7</v>
      </c>
      <c r="K72" s="63">
        <v>22.82</v>
      </c>
      <c r="L72" s="63">
        <v>19.02</v>
      </c>
      <c r="M72" s="63">
        <v>132.26</v>
      </c>
      <c r="N72" s="62">
        <v>110.22</v>
      </c>
      <c r="O72" s="63">
        <f>P72*180/150</f>
        <v>0.024</v>
      </c>
      <c r="P72" s="69">
        <v>0.02</v>
      </c>
      <c r="Q72" s="63">
        <f>R72*180/150</f>
        <v>0.12</v>
      </c>
      <c r="R72" s="69">
        <v>0.1</v>
      </c>
      <c r="S72" s="63">
        <v>1.43</v>
      </c>
      <c r="T72" s="69">
        <v>1.2</v>
      </c>
      <c r="U72" s="63">
        <f>V72*180/150</f>
        <v>109.58399999999999</v>
      </c>
      <c r="V72" s="69">
        <v>91.32</v>
      </c>
      <c r="W72" s="63">
        <f>X72*180/150</f>
        <v>0.36</v>
      </c>
      <c r="X72" s="69">
        <v>0.3</v>
      </c>
      <c r="Y72" s="22"/>
      <c r="Z72" s="22"/>
      <c r="AA72" s="22"/>
      <c r="AB72" s="22"/>
      <c r="AC72" s="22"/>
      <c r="AD72" s="22"/>
      <c r="AE72" s="22"/>
    </row>
    <row r="73" spans="1:32" ht="15" customHeight="1">
      <c r="A73" s="16"/>
      <c r="B73" s="17" t="s">
        <v>23</v>
      </c>
      <c r="C73" s="18"/>
      <c r="D73" s="18"/>
      <c r="E73" s="28">
        <f>SUM(E70:E72)</f>
        <v>22.25</v>
      </c>
      <c r="F73" s="28">
        <f>SUM(F70:F72)</f>
        <v>18.64</v>
      </c>
      <c r="G73" s="28">
        <f aca="true" t="shared" si="19" ref="G73:T73">SUM(G70:G72)</f>
        <v>8.95</v>
      </c>
      <c r="H73" s="28">
        <f t="shared" si="19"/>
        <v>7.76</v>
      </c>
      <c r="I73" s="28">
        <f t="shared" si="19"/>
        <v>10.190000000000001</v>
      </c>
      <c r="J73" s="28">
        <f t="shared" si="19"/>
        <v>8.45</v>
      </c>
      <c r="K73" s="28">
        <f t="shared" si="19"/>
        <v>54.32</v>
      </c>
      <c r="L73" s="28">
        <f t="shared" si="19"/>
        <v>45.42</v>
      </c>
      <c r="M73" s="28">
        <f t="shared" si="19"/>
        <v>343.01</v>
      </c>
      <c r="N73" s="28">
        <f t="shared" si="19"/>
        <v>288.77</v>
      </c>
      <c r="O73" s="28">
        <f t="shared" si="19"/>
        <v>0.204</v>
      </c>
      <c r="P73" s="28">
        <f t="shared" si="19"/>
        <v>0.14833333333333332</v>
      </c>
      <c r="Q73" s="28">
        <f t="shared" si="19"/>
        <v>0.43</v>
      </c>
      <c r="R73" s="28">
        <f t="shared" si="19"/>
        <v>0.3275</v>
      </c>
      <c r="S73" s="28">
        <f t="shared" si="19"/>
        <v>1.5699999999999998</v>
      </c>
      <c r="T73" s="28">
        <f t="shared" si="19"/>
        <v>1.3399999999999999</v>
      </c>
      <c r="U73" s="28">
        <f aca="true" t="shared" si="20" ref="U73:AB73">SUM(U70:U72)</f>
        <v>355.584</v>
      </c>
      <c r="V73" s="28">
        <f t="shared" si="20"/>
        <v>303.42</v>
      </c>
      <c r="W73" s="28">
        <f t="shared" si="20"/>
        <v>2.07</v>
      </c>
      <c r="X73" s="28">
        <f t="shared" si="20"/>
        <v>1.5150000000000003</v>
      </c>
      <c r="Y73" s="28">
        <f t="shared" si="20"/>
        <v>0</v>
      </c>
      <c r="Z73" s="28">
        <f t="shared" si="20"/>
        <v>0</v>
      </c>
      <c r="AA73" s="28">
        <f t="shared" si="20"/>
        <v>0</v>
      </c>
      <c r="AB73" s="28">
        <f t="shared" si="20"/>
        <v>0</v>
      </c>
      <c r="AC73" s="75"/>
      <c r="AD73" s="75"/>
      <c r="AE73" s="75"/>
      <c r="AF73" s="22"/>
    </row>
    <row r="74" spans="1:32" ht="15" customHeight="1">
      <c r="A74" s="16"/>
      <c r="B74" s="90" t="s">
        <v>41</v>
      </c>
      <c r="C74" s="18"/>
      <c r="D74" s="18"/>
      <c r="E74" s="19"/>
      <c r="F74" s="19"/>
      <c r="G74" s="19"/>
      <c r="H74" s="20"/>
      <c r="I74" s="20"/>
      <c r="J74" s="20"/>
      <c r="K74" s="20"/>
      <c r="L74" s="20"/>
      <c r="M74" s="20"/>
      <c r="N74" s="20"/>
      <c r="O74" s="29"/>
      <c r="P74" s="29"/>
      <c r="Q74" s="29"/>
      <c r="R74" s="29"/>
      <c r="S74" s="29"/>
      <c r="T74" s="29"/>
      <c r="U74" s="29"/>
      <c r="V74" s="29"/>
      <c r="W74" s="29"/>
      <c r="X74" s="79"/>
      <c r="Y74" s="22"/>
      <c r="Z74" s="37"/>
      <c r="AA74" s="37"/>
      <c r="AB74" s="37"/>
      <c r="AC74" s="22"/>
      <c r="AD74" s="22"/>
      <c r="AE74" s="22"/>
      <c r="AF74" s="22"/>
    </row>
    <row r="75" spans="1:30" ht="15" customHeight="1">
      <c r="A75" s="128" t="s">
        <v>43</v>
      </c>
      <c r="B75" s="17" t="s">
        <v>74</v>
      </c>
      <c r="C75" s="18" t="s">
        <v>22</v>
      </c>
      <c r="D75" s="18" t="s">
        <v>159</v>
      </c>
      <c r="E75" s="19">
        <v>12.36</v>
      </c>
      <c r="F75" s="19">
        <v>11.12</v>
      </c>
      <c r="G75" s="25">
        <f>H75*150/135</f>
        <v>4.5</v>
      </c>
      <c r="H75" s="25">
        <v>4.05</v>
      </c>
      <c r="I75" s="25">
        <f>J75*150/135</f>
        <v>3.7555555555555555</v>
      </c>
      <c r="J75" s="25">
        <v>3.38</v>
      </c>
      <c r="K75" s="25">
        <f>L75*150/135</f>
        <v>6</v>
      </c>
      <c r="L75" s="25">
        <v>5.4</v>
      </c>
      <c r="M75" s="25">
        <f>N75*150/135</f>
        <v>75.75555555555557</v>
      </c>
      <c r="N75" s="25">
        <v>68.18</v>
      </c>
      <c r="O75" s="25">
        <f>P75*180/150</f>
        <v>0.06</v>
      </c>
      <c r="P75" s="25">
        <v>0.05</v>
      </c>
      <c r="Q75" s="25">
        <f>R75*180/150</f>
        <v>0.31200000000000006</v>
      </c>
      <c r="R75" s="25">
        <v>0.26</v>
      </c>
      <c r="S75" s="25">
        <f>T75*150/135</f>
        <v>3</v>
      </c>
      <c r="T75" s="25">
        <v>2.7</v>
      </c>
      <c r="U75" s="61">
        <v>235.31</v>
      </c>
      <c r="V75" s="62">
        <f>U75*150/180</f>
        <v>196.09166666666667</v>
      </c>
      <c r="W75" s="61">
        <v>0.19</v>
      </c>
      <c r="X75" s="84">
        <f>W75*150/180</f>
        <v>0.15833333333333333</v>
      </c>
      <c r="Y75" s="82"/>
      <c r="Z75" s="37"/>
      <c r="AA75" s="37"/>
      <c r="AB75" s="37"/>
      <c r="AC75" s="37"/>
      <c r="AD75" s="37"/>
    </row>
    <row r="76" spans="1:32" ht="15" customHeight="1">
      <c r="A76" s="16"/>
      <c r="B76" s="17" t="s">
        <v>23</v>
      </c>
      <c r="C76" s="18"/>
      <c r="D76" s="18"/>
      <c r="E76" s="28">
        <f>SUM(E75)</f>
        <v>12.36</v>
      </c>
      <c r="F76" s="28">
        <f>SUM(F75)</f>
        <v>11.12</v>
      </c>
      <c r="G76" s="28">
        <f aca="true" t="shared" si="21" ref="G76:T76">SUM(G75)</f>
        <v>4.5</v>
      </c>
      <c r="H76" s="28">
        <f t="shared" si="21"/>
        <v>4.05</v>
      </c>
      <c r="I76" s="28">
        <f t="shared" si="21"/>
        <v>3.7555555555555555</v>
      </c>
      <c r="J76" s="28">
        <f t="shared" si="21"/>
        <v>3.38</v>
      </c>
      <c r="K76" s="28">
        <f t="shared" si="21"/>
        <v>6</v>
      </c>
      <c r="L76" s="28">
        <f t="shared" si="21"/>
        <v>5.4</v>
      </c>
      <c r="M76" s="28">
        <f t="shared" si="21"/>
        <v>75.75555555555557</v>
      </c>
      <c r="N76" s="28">
        <f t="shared" si="21"/>
        <v>68.18</v>
      </c>
      <c r="O76" s="28">
        <f t="shared" si="21"/>
        <v>0.06</v>
      </c>
      <c r="P76" s="28">
        <f t="shared" si="21"/>
        <v>0.05</v>
      </c>
      <c r="Q76" s="28">
        <f t="shared" si="21"/>
        <v>0.31200000000000006</v>
      </c>
      <c r="R76" s="28">
        <f t="shared" si="21"/>
        <v>0.26</v>
      </c>
      <c r="S76" s="28">
        <f t="shared" si="21"/>
        <v>3</v>
      </c>
      <c r="T76" s="28">
        <f t="shared" si="21"/>
        <v>2.7</v>
      </c>
      <c r="U76" s="28">
        <f>SUM(U75)</f>
        <v>235.31</v>
      </c>
      <c r="V76" s="28">
        <f>SUM(V75)</f>
        <v>196.09166666666667</v>
      </c>
      <c r="W76" s="28">
        <f>SUM(W75)</f>
        <v>0.19</v>
      </c>
      <c r="X76" s="78">
        <f>SUM(X75)</f>
        <v>0.15833333333333333</v>
      </c>
      <c r="Y76" s="75"/>
      <c r="Z76" s="75"/>
      <c r="AA76" s="75"/>
      <c r="AB76" s="75"/>
      <c r="AC76" s="75"/>
      <c r="AD76" s="75"/>
      <c r="AE76" s="75"/>
      <c r="AF76" s="22"/>
    </row>
    <row r="77" spans="1:32" ht="15" customHeight="1">
      <c r="A77" s="16"/>
      <c r="B77" s="90" t="s">
        <v>27</v>
      </c>
      <c r="C77" s="18"/>
      <c r="D77" s="18"/>
      <c r="E77" s="33"/>
      <c r="F77" s="19"/>
      <c r="G77" s="19"/>
      <c r="H77" s="20"/>
      <c r="I77" s="20"/>
      <c r="J77" s="20"/>
      <c r="K77" s="20"/>
      <c r="L77" s="20"/>
      <c r="M77" s="20"/>
      <c r="N77" s="20"/>
      <c r="O77" s="29"/>
      <c r="P77" s="29"/>
      <c r="Q77" s="29"/>
      <c r="R77" s="29"/>
      <c r="S77" s="29"/>
      <c r="T77" s="29"/>
      <c r="U77" s="29"/>
      <c r="V77" s="29"/>
      <c r="W77" s="29"/>
      <c r="X77" s="79"/>
      <c r="Y77" s="22"/>
      <c r="Z77" s="37"/>
      <c r="AA77" s="37"/>
      <c r="AB77" s="37"/>
      <c r="AC77" s="22"/>
      <c r="AD77" s="22"/>
      <c r="AE77" s="22"/>
      <c r="AF77" s="22"/>
    </row>
    <row r="78" spans="1:24" ht="15" customHeight="1">
      <c r="A78" s="132" t="s">
        <v>85</v>
      </c>
      <c r="B78" s="121" t="s">
        <v>113</v>
      </c>
      <c r="C78" s="18" t="s">
        <v>28</v>
      </c>
      <c r="D78" s="18" t="s">
        <v>180</v>
      </c>
      <c r="E78" s="19">
        <v>3.02</v>
      </c>
      <c r="F78" s="19">
        <v>2.52</v>
      </c>
      <c r="G78" s="19">
        <v>1.32</v>
      </c>
      <c r="H78" s="20">
        <f>G78*50/60</f>
        <v>1.1</v>
      </c>
      <c r="I78" s="19">
        <v>4.56</v>
      </c>
      <c r="J78" s="20">
        <f>I78*50/60</f>
        <v>3.7999999999999994</v>
      </c>
      <c r="K78" s="19">
        <v>6.84</v>
      </c>
      <c r="L78" s="20">
        <f>K78*50/60</f>
        <v>5.7</v>
      </c>
      <c r="M78" s="19">
        <v>76.8</v>
      </c>
      <c r="N78" s="20">
        <f>M78*50/60</f>
        <v>64</v>
      </c>
      <c r="O78" s="19">
        <f>P78*60/45</f>
        <v>0.013333333333333332</v>
      </c>
      <c r="P78" s="26">
        <v>0.01</v>
      </c>
      <c r="Q78" s="19">
        <f>R78*60/45</f>
        <v>0.026666666666666665</v>
      </c>
      <c r="R78" s="26">
        <v>0.02</v>
      </c>
      <c r="S78" s="19">
        <v>7.68</v>
      </c>
      <c r="T78" s="20">
        <f>S78*50/60</f>
        <v>6.4</v>
      </c>
      <c r="U78" s="19">
        <f>V78*60/45</f>
        <v>22.733333333333334</v>
      </c>
      <c r="V78" s="26">
        <v>17.05</v>
      </c>
      <c r="W78" s="19">
        <f>X78*60/45</f>
        <v>0.8666666666666667</v>
      </c>
      <c r="X78" s="26">
        <v>0.65</v>
      </c>
    </row>
    <row r="79" spans="1:30" ht="38.25" customHeight="1">
      <c r="A79" s="139" t="s">
        <v>118</v>
      </c>
      <c r="B79" s="23" t="s">
        <v>127</v>
      </c>
      <c r="C79" s="18" t="s">
        <v>176</v>
      </c>
      <c r="D79" s="18" t="s">
        <v>177</v>
      </c>
      <c r="E79" s="34">
        <v>5.75</v>
      </c>
      <c r="F79" s="19">
        <v>4.54</v>
      </c>
      <c r="G79" s="25">
        <v>1.74</v>
      </c>
      <c r="H79" s="25">
        <v>1.34</v>
      </c>
      <c r="I79" s="25">
        <v>4.91</v>
      </c>
      <c r="J79" s="25">
        <v>3.87</v>
      </c>
      <c r="K79" s="25">
        <v>10.64</v>
      </c>
      <c r="L79" s="25">
        <v>8.02</v>
      </c>
      <c r="M79" s="25">
        <v>93.71</v>
      </c>
      <c r="N79" s="25">
        <v>72.27</v>
      </c>
      <c r="O79" s="20">
        <v>0.09</v>
      </c>
      <c r="P79" s="20">
        <v>0.07</v>
      </c>
      <c r="Q79" s="20">
        <v>0.1</v>
      </c>
      <c r="R79" s="20">
        <v>0.08</v>
      </c>
      <c r="S79" s="20">
        <v>8.21</v>
      </c>
      <c r="T79" s="25">
        <v>6.16</v>
      </c>
      <c r="U79" s="25">
        <v>17.7</v>
      </c>
      <c r="V79" s="26">
        <v>18.09</v>
      </c>
      <c r="W79" s="25">
        <v>1.11</v>
      </c>
      <c r="X79" s="108">
        <v>1.07</v>
      </c>
      <c r="Y79" s="83"/>
      <c r="Z79" s="22"/>
      <c r="AA79" s="22"/>
      <c r="AB79" s="22"/>
      <c r="AC79" s="22"/>
      <c r="AD79" s="22"/>
    </row>
    <row r="80" spans="1:31" s="31" customFormat="1" ht="15" customHeight="1">
      <c r="A80" s="127" t="s">
        <v>94</v>
      </c>
      <c r="B80" s="140" t="s">
        <v>95</v>
      </c>
      <c r="C80" s="111" t="s">
        <v>92</v>
      </c>
      <c r="D80" s="111" t="s">
        <v>92</v>
      </c>
      <c r="E80" s="33">
        <v>34.78</v>
      </c>
      <c r="F80" s="33">
        <v>34.78</v>
      </c>
      <c r="G80" s="63">
        <v>13.9</v>
      </c>
      <c r="H80" s="63">
        <v>13.9</v>
      </c>
      <c r="I80" s="63">
        <v>6.5</v>
      </c>
      <c r="J80" s="63">
        <v>6.5</v>
      </c>
      <c r="K80" s="63">
        <v>4</v>
      </c>
      <c r="L80" s="63">
        <v>4</v>
      </c>
      <c r="M80" s="63">
        <v>132</v>
      </c>
      <c r="N80" s="106">
        <v>132</v>
      </c>
      <c r="O80" s="62">
        <v>0.06</v>
      </c>
      <c r="P80" s="62">
        <v>0</v>
      </c>
      <c r="Q80" s="62">
        <v>0.12</v>
      </c>
      <c r="R80" s="62">
        <v>0</v>
      </c>
      <c r="S80" s="62">
        <v>0.06</v>
      </c>
      <c r="T80" s="62">
        <v>0.06</v>
      </c>
      <c r="U80" s="62">
        <v>14.33</v>
      </c>
      <c r="V80" s="62">
        <v>0</v>
      </c>
      <c r="W80" s="84">
        <v>2.25</v>
      </c>
      <c r="X80" s="62">
        <v>0</v>
      </c>
      <c r="Y80" s="36"/>
      <c r="Z80" s="105"/>
      <c r="AA80" s="105"/>
      <c r="AB80" s="105"/>
      <c r="AC80" s="105"/>
      <c r="AD80" s="30"/>
      <c r="AE80" s="30"/>
    </row>
    <row r="81" spans="1:31" ht="15.75" customHeight="1">
      <c r="A81" s="128" t="s">
        <v>18</v>
      </c>
      <c r="B81" s="17" t="s">
        <v>107</v>
      </c>
      <c r="C81" s="18" t="s">
        <v>61</v>
      </c>
      <c r="D81" s="18" t="s">
        <v>89</v>
      </c>
      <c r="E81" s="19">
        <v>3.01</v>
      </c>
      <c r="F81" s="19">
        <v>2.32</v>
      </c>
      <c r="G81" s="20">
        <f>H81*130/100</f>
        <v>3.9</v>
      </c>
      <c r="H81" s="20">
        <v>3</v>
      </c>
      <c r="I81" s="20">
        <f>J81*130/100</f>
        <v>5.85</v>
      </c>
      <c r="J81" s="20">
        <v>4.5</v>
      </c>
      <c r="K81" s="20">
        <f>L81*130/100</f>
        <v>19.37</v>
      </c>
      <c r="L81" s="20">
        <v>14.9</v>
      </c>
      <c r="M81" s="20">
        <f>N81*130/100</f>
        <v>145.73</v>
      </c>
      <c r="N81" s="20">
        <v>112.1</v>
      </c>
      <c r="O81" s="20">
        <f>P81*130/100</f>
        <v>0.039</v>
      </c>
      <c r="P81" s="20">
        <v>0.03</v>
      </c>
      <c r="Q81" s="20">
        <f>R81*130/100</f>
        <v>0.013000000000000001</v>
      </c>
      <c r="R81" s="20">
        <v>0.01</v>
      </c>
      <c r="S81" s="20">
        <f>T81*130/100</f>
        <v>0</v>
      </c>
      <c r="T81" s="20">
        <v>0</v>
      </c>
      <c r="U81" s="20">
        <f>V81*130/100</f>
        <v>11.973000000000003</v>
      </c>
      <c r="V81" s="20">
        <v>9.21</v>
      </c>
      <c r="W81" s="20">
        <f>X81*130/100</f>
        <v>0.9620000000000001</v>
      </c>
      <c r="X81" s="20">
        <v>0.74</v>
      </c>
      <c r="Y81" s="113"/>
      <c r="Z81" s="114"/>
      <c r="AA81" s="114"/>
      <c r="AB81" s="114"/>
      <c r="AC81" s="22"/>
      <c r="AD81" s="22"/>
      <c r="AE81" s="22"/>
    </row>
    <row r="82" spans="1:31" ht="21.75" customHeight="1">
      <c r="A82" s="127" t="s">
        <v>124</v>
      </c>
      <c r="B82" s="59" t="s">
        <v>132</v>
      </c>
      <c r="C82" s="60" t="s">
        <v>21</v>
      </c>
      <c r="D82" s="60" t="s">
        <v>22</v>
      </c>
      <c r="E82" s="61">
        <v>2.82</v>
      </c>
      <c r="F82" s="61">
        <v>2.11</v>
      </c>
      <c r="G82" s="63">
        <v>1.2</v>
      </c>
      <c r="H82" s="69">
        <v>0.9</v>
      </c>
      <c r="I82" s="63">
        <f>J82*200/150</f>
        <v>0</v>
      </c>
      <c r="J82" s="69">
        <v>0</v>
      </c>
      <c r="K82" s="63">
        <v>31.6</v>
      </c>
      <c r="L82" s="69">
        <v>23.7</v>
      </c>
      <c r="M82" s="63">
        <v>126</v>
      </c>
      <c r="N82" s="69">
        <v>94.5</v>
      </c>
      <c r="O82" s="62">
        <v>0.02</v>
      </c>
      <c r="P82" s="62">
        <f>O82*150/200</f>
        <v>0.015</v>
      </c>
      <c r="Q82" s="62">
        <v>0.01</v>
      </c>
      <c r="R82" s="62">
        <f>Q82*150/200</f>
        <v>0.0075</v>
      </c>
      <c r="S82" s="62">
        <v>0</v>
      </c>
      <c r="T82" s="20">
        <v>0</v>
      </c>
      <c r="U82" s="20">
        <v>12.3</v>
      </c>
      <c r="V82" s="20">
        <f>U82*150/200</f>
        <v>9.225</v>
      </c>
      <c r="W82" s="39">
        <v>2</v>
      </c>
      <c r="X82" s="77">
        <f>W82*150/200</f>
        <v>1.5</v>
      </c>
      <c r="Y82" s="22"/>
      <c r="Z82" s="22"/>
      <c r="AA82" s="22"/>
      <c r="AB82" s="22"/>
      <c r="AC82" s="22"/>
      <c r="AD82" s="22"/>
      <c r="AE82" s="22"/>
    </row>
    <row r="83" spans="1:31" s="68" customFormat="1" ht="15" customHeight="1">
      <c r="A83" s="127"/>
      <c r="B83" s="59" t="s">
        <v>30</v>
      </c>
      <c r="C83" s="60" t="s">
        <v>31</v>
      </c>
      <c r="D83" s="60" t="s">
        <v>31</v>
      </c>
      <c r="E83" s="61">
        <v>1.11</v>
      </c>
      <c r="F83" s="61">
        <v>1.11</v>
      </c>
      <c r="G83" s="61">
        <v>1.6</v>
      </c>
      <c r="H83" s="61">
        <v>1.6</v>
      </c>
      <c r="I83" s="61">
        <v>0.4</v>
      </c>
      <c r="J83" s="61">
        <v>0.4</v>
      </c>
      <c r="K83" s="61">
        <v>10</v>
      </c>
      <c r="L83" s="61">
        <v>10</v>
      </c>
      <c r="M83" s="62">
        <v>54</v>
      </c>
      <c r="N83" s="62">
        <v>54</v>
      </c>
      <c r="O83" s="65">
        <v>0.04</v>
      </c>
      <c r="P83" s="66">
        <v>0.04</v>
      </c>
      <c r="Q83" s="65">
        <v>0.02</v>
      </c>
      <c r="R83" s="66">
        <v>0.02</v>
      </c>
      <c r="S83" s="65">
        <v>0</v>
      </c>
      <c r="T83" s="66">
        <v>0</v>
      </c>
      <c r="U83" s="65">
        <v>7.4</v>
      </c>
      <c r="V83" s="66">
        <v>7.4</v>
      </c>
      <c r="W83" s="65">
        <v>0.56</v>
      </c>
      <c r="X83" s="66">
        <v>0.56</v>
      </c>
      <c r="Y83" s="67"/>
      <c r="Z83" s="67"/>
      <c r="AA83" s="67"/>
      <c r="AB83" s="67"/>
      <c r="AC83" s="67"/>
      <c r="AD83" s="67"/>
      <c r="AE83" s="67"/>
    </row>
    <row r="84" spans="1:31" ht="15" customHeight="1">
      <c r="A84" s="127"/>
      <c r="B84" s="59" t="s">
        <v>32</v>
      </c>
      <c r="C84" s="60" t="s">
        <v>80</v>
      </c>
      <c r="D84" s="60" t="s">
        <v>81</v>
      </c>
      <c r="E84" s="61">
        <v>2.09</v>
      </c>
      <c r="F84" s="61">
        <v>1.83</v>
      </c>
      <c r="G84" s="61">
        <v>3.25</v>
      </c>
      <c r="H84" s="62">
        <v>2.84</v>
      </c>
      <c r="I84" s="62">
        <v>0.46</v>
      </c>
      <c r="J84" s="62">
        <f>I84*40.6/46</f>
        <v>0.406</v>
      </c>
      <c r="K84" s="62">
        <v>20.88</v>
      </c>
      <c r="L84" s="62">
        <v>18.27</v>
      </c>
      <c r="M84" s="62">
        <v>102.08</v>
      </c>
      <c r="N84" s="62">
        <v>89.32</v>
      </c>
      <c r="O84" s="63">
        <v>0.06</v>
      </c>
      <c r="P84" s="69">
        <v>0.04</v>
      </c>
      <c r="Q84" s="63">
        <v>0.04</v>
      </c>
      <c r="R84" s="69">
        <v>0.03</v>
      </c>
      <c r="S84" s="63">
        <v>0</v>
      </c>
      <c r="T84" s="62">
        <f>S84*40.6/46</f>
        <v>0</v>
      </c>
      <c r="U84" s="65">
        <v>17</v>
      </c>
      <c r="V84" s="66">
        <v>13.6</v>
      </c>
      <c r="W84" s="65">
        <v>1.15</v>
      </c>
      <c r="X84" s="66">
        <v>0.92</v>
      </c>
      <c r="Y84" s="22"/>
      <c r="Z84" s="22"/>
      <c r="AA84" s="22"/>
      <c r="AB84" s="22"/>
      <c r="AC84" s="22"/>
      <c r="AD84" s="22"/>
      <c r="AE84" s="22"/>
    </row>
    <row r="85" spans="1:32" ht="15" customHeight="1">
      <c r="A85" s="16"/>
      <c r="B85" s="17" t="s">
        <v>23</v>
      </c>
      <c r="C85" s="18"/>
      <c r="D85" s="18"/>
      <c r="E85" s="28">
        <f>SUM(E78:E84)</f>
        <v>52.58</v>
      </c>
      <c r="F85" s="28">
        <f>SUM(F78:F84)</f>
        <v>49.21</v>
      </c>
      <c r="G85" s="28">
        <f>SUM(G78:G84)-5</f>
        <v>21.91</v>
      </c>
      <c r="H85" s="28">
        <f>SUM(H78:H84)-4</f>
        <v>20.68</v>
      </c>
      <c r="I85" s="28">
        <f aca="true" t="shared" si="22" ref="I85:T85">SUM(I78:I84)</f>
        <v>22.68</v>
      </c>
      <c r="J85" s="28">
        <f t="shared" si="22"/>
        <v>19.476</v>
      </c>
      <c r="K85" s="28">
        <f>SUM(K78:K84)+7</f>
        <v>110.33</v>
      </c>
      <c r="L85" s="28">
        <f>SUM(L78:L84)+0</f>
        <v>84.58999999999999</v>
      </c>
      <c r="M85" s="28">
        <f t="shared" si="22"/>
        <v>730.32</v>
      </c>
      <c r="N85" s="28">
        <f t="shared" si="22"/>
        <v>618.19</v>
      </c>
      <c r="O85" s="28">
        <f t="shared" si="22"/>
        <v>0.3223333333333333</v>
      </c>
      <c r="P85" s="28">
        <f t="shared" si="22"/>
        <v>0.20500000000000002</v>
      </c>
      <c r="Q85" s="28">
        <f t="shared" si="22"/>
        <v>0.32966666666666666</v>
      </c>
      <c r="R85" s="28">
        <f t="shared" si="22"/>
        <v>0.16749999999999998</v>
      </c>
      <c r="S85" s="28">
        <f t="shared" si="22"/>
        <v>15.950000000000001</v>
      </c>
      <c r="T85" s="28">
        <f t="shared" si="22"/>
        <v>12.620000000000001</v>
      </c>
      <c r="U85" s="28">
        <f>SUM(U78:U84)</f>
        <v>103.43633333333334</v>
      </c>
      <c r="V85" s="28">
        <f>SUM(V78:V84)</f>
        <v>74.575</v>
      </c>
      <c r="W85" s="28">
        <f>SUM(W78:W84)</f>
        <v>8.898666666666667</v>
      </c>
      <c r="X85" s="78">
        <f>SUM(X78:X84)</f>
        <v>5.4399999999999995</v>
      </c>
      <c r="Y85" s="75"/>
      <c r="Z85" s="75"/>
      <c r="AA85" s="75"/>
      <c r="AB85" s="75"/>
      <c r="AC85" s="75"/>
      <c r="AD85" s="22"/>
      <c r="AE85" s="22"/>
      <c r="AF85" s="22"/>
    </row>
    <row r="86" spans="1:32" ht="15" customHeight="1">
      <c r="A86" s="16"/>
      <c r="B86" s="90" t="s">
        <v>42</v>
      </c>
      <c r="C86" s="18"/>
      <c r="D86" s="18"/>
      <c r="E86" s="19"/>
      <c r="F86" s="19"/>
      <c r="G86" s="19"/>
      <c r="H86" s="20"/>
      <c r="I86" s="20"/>
      <c r="J86" s="20"/>
      <c r="K86" s="20"/>
      <c r="L86" s="20"/>
      <c r="M86" s="20"/>
      <c r="N86" s="20"/>
      <c r="O86" s="29"/>
      <c r="P86" s="29"/>
      <c r="Q86" s="29"/>
      <c r="R86" s="29"/>
      <c r="S86" s="29"/>
      <c r="T86" s="29"/>
      <c r="U86" s="29"/>
      <c r="V86" s="29"/>
      <c r="W86" s="29"/>
      <c r="X86" s="79"/>
      <c r="Y86" s="22"/>
      <c r="Z86" s="37"/>
      <c r="AA86" s="37"/>
      <c r="AB86" s="37"/>
      <c r="AC86" s="22"/>
      <c r="AD86" s="22"/>
      <c r="AE86" s="22"/>
      <c r="AF86" s="22"/>
    </row>
    <row r="87" spans="1:31" ht="15" customHeight="1">
      <c r="A87" s="127" t="s">
        <v>34</v>
      </c>
      <c r="B87" s="59" t="s">
        <v>35</v>
      </c>
      <c r="C87" s="60" t="s">
        <v>26</v>
      </c>
      <c r="D87" s="60" t="s">
        <v>26</v>
      </c>
      <c r="E87" s="61">
        <v>10.36</v>
      </c>
      <c r="F87" s="61">
        <v>10.36</v>
      </c>
      <c r="G87" s="61">
        <v>5.31</v>
      </c>
      <c r="H87" s="62">
        <v>5.31</v>
      </c>
      <c r="I87" s="61">
        <v>4.5</v>
      </c>
      <c r="J87" s="62">
        <v>4.5</v>
      </c>
      <c r="K87" s="61">
        <v>8.91</v>
      </c>
      <c r="L87" s="62">
        <v>8.91</v>
      </c>
      <c r="M87" s="61">
        <v>97.38</v>
      </c>
      <c r="N87" s="62">
        <v>97.38</v>
      </c>
      <c r="O87" s="61">
        <v>0.07</v>
      </c>
      <c r="P87" s="62">
        <v>0.07</v>
      </c>
      <c r="Q87" s="61">
        <v>0.3</v>
      </c>
      <c r="R87" s="62">
        <v>0.3</v>
      </c>
      <c r="S87" s="61">
        <v>2.46</v>
      </c>
      <c r="T87" s="62">
        <v>2.46</v>
      </c>
      <c r="U87" s="61">
        <v>275.74</v>
      </c>
      <c r="V87" s="62">
        <v>275.74</v>
      </c>
      <c r="W87" s="61">
        <v>0.23</v>
      </c>
      <c r="X87" s="62">
        <v>0.23</v>
      </c>
      <c r="Y87" s="37"/>
      <c r="Z87" s="37"/>
      <c r="AA87" s="37"/>
      <c r="AB87" s="37"/>
      <c r="AC87" s="37"/>
      <c r="AD87" s="37"/>
      <c r="AE87" s="22"/>
    </row>
    <row r="88" spans="1:31" ht="12.75">
      <c r="A88" s="131" t="s">
        <v>108</v>
      </c>
      <c r="B88" s="42" t="s">
        <v>110</v>
      </c>
      <c r="C88" s="60" t="s">
        <v>111</v>
      </c>
      <c r="D88" s="60" t="s">
        <v>111</v>
      </c>
      <c r="E88" s="61">
        <v>0.96</v>
      </c>
      <c r="F88" s="61">
        <v>0.96</v>
      </c>
      <c r="G88" s="61">
        <v>2.24</v>
      </c>
      <c r="H88" s="62">
        <v>2.24</v>
      </c>
      <c r="I88" s="61">
        <v>3.93</v>
      </c>
      <c r="J88" s="62">
        <v>3.93</v>
      </c>
      <c r="K88" s="61">
        <v>18.27</v>
      </c>
      <c r="L88" s="62">
        <v>18.27</v>
      </c>
      <c r="M88" s="61">
        <v>117.63</v>
      </c>
      <c r="N88" s="62">
        <v>117.63</v>
      </c>
      <c r="O88" s="61"/>
      <c r="P88" s="62"/>
      <c r="Q88" s="61"/>
      <c r="R88" s="62"/>
      <c r="S88" s="61">
        <v>0</v>
      </c>
      <c r="T88" s="62">
        <v>0</v>
      </c>
      <c r="U88" s="116"/>
      <c r="V88" s="117"/>
      <c r="W88" s="116"/>
      <c r="X88" s="118"/>
      <c r="Y88" s="37"/>
      <c r="Z88" s="37"/>
      <c r="AA88" s="37"/>
      <c r="AB88" s="37"/>
      <c r="AC88" s="37"/>
      <c r="AD88" s="37"/>
      <c r="AE88" s="22"/>
    </row>
    <row r="89" spans="1:32" ht="15" customHeight="1">
      <c r="A89" s="16"/>
      <c r="B89" s="17" t="s">
        <v>23</v>
      </c>
      <c r="C89" s="72"/>
      <c r="D89" s="72"/>
      <c r="E89" s="119">
        <f>SUM(E87:E88)</f>
        <v>11.32</v>
      </c>
      <c r="F89" s="119">
        <f>SUM(F87:F88)</f>
        <v>11.32</v>
      </c>
      <c r="G89" s="119">
        <f aca="true" t="shared" si="23" ref="G89:T89">SUM(G87:G88)</f>
        <v>7.55</v>
      </c>
      <c r="H89" s="119">
        <f t="shared" si="23"/>
        <v>7.55</v>
      </c>
      <c r="I89" s="119">
        <f t="shared" si="23"/>
        <v>8.43</v>
      </c>
      <c r="J89" s="119">
        <f t="shared" si="23"/>
        <v>8.43</v>
      </c>
      <c r="K89" s="119">
        <f t="shared" si="23"/>
        <v>27.18</v>
      </c>
      <c r="L89" s="119">
        <f t="shared" si="23"/>
        <v>27.18</v>
      </c>
      <c r="M89" s="119">
        <f t="shared" si="23"/>
        <v>215.01</v>
      </c>
      <c r="N89" s="119">
        <f t="shared" si="23"/>
        <v>215.01</v>
      </c>
      <c r="O89" s="119">
        <f t="shared" si="23"/>
        <v>0.07</v>
      </c>
      <c r="P89" s="119">
        <f t="shared" si="23"/>
        <v>0.07</v>
      </c>
      <c r="Q89" s="119">
        <f t="shared" si="23"/>
        <v>0.3</v>
      </c>
      <c r="R89" s="119">
        <f t="shared" si="23"/>
        <v>0.3</v>
      </c>
      <c r="S89" s="119">
        <f t="shared" si="23"/>
        <v>2.46</v>
      </c>
      <c r="T89" s="119">
        <f t="shared" si="23"/>
        <v>2.46</v>
      </c>
      <c r="U89" s="119">
        <f aca="true" t="shared" si="24" ref="U89:AB89">SUM(U87:U88)</f>
        <v>275.74</v>
      </c>
      <c r="V89" s="119">
        <f t="shared" si="24"/>
        <v>275.74</v>
      </c>
      <c r="W89" s="119">
        <f t="shared" si="24"/>
        <v>0.23</v>
      </c>
      <c r="X89" s="119">
        <f t="shared" si="24"/>
        <v>0.23</v>
      </c>
      <c r="Y89" s="119">
        <f t="shared" si="24"/>
        <v>0</v>
      </c>
      <c r="Z89" s="119">
        <f t="shared" si="24"/>
        <v>0</v>
      </c>
      <c r="AA89" s="119">
        <f t="shared" si="24"/>
        <v>0</v>
      </c>
      <c r="AB89" s="119">
        <f t="shared" si="24"/>
        <v>0</v>
      </c>
      <c r="AC89" s="75"/>
      <c r="AD89" s="22"/>
      <c r="AE89" s="22"/>
      <c r="AF89" s="22"/>
    </row>
    <row r="90" spans="1:32" ht="15" customHeight="1">
      <c r="A90" s="16"/>
      <c r="B90" s="90" t="s">
        <v>36</v>
      </c>
      <c r="C90" s="18"/>
      <c r="D90" s="18"/>
      <c r="E90" s="19"/>
      <c r="F90" s="19"/>
      <c r="G90" s="19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9"/>
      <c r="U90" s="29"/>
      <c r="V90" s="29"/>
      <c r="W90" s="29"/>
      <c r="X90" s="79"/>
      <c r="Y90" s="22"/>
      <c r="Z90" s="37"/>
      <c r="AA90" s="37"/>
      <c r="AB90" s="37"/>
      <c r="AC90" s="22"/>
      <c r="AD90" s="22"/>
      <c r="AE90" s="22"/>
      <c r="AF90" s="22"/>
    </row>
    <row r="91" spans="1:33" s="31" customFormat="1" ht="27" customHeight="1">
      <c r="A91" s="150" t="s">
        <v>188</v>
      </c>
      <c r="B91" s="59" t="s">
        <v>189</v>
      </c>
      <c r="C91" s="60" t="s">
        <v>29</v>
      </c>
      <c r="D91" s="60" t="s">
        <v>29</v>
      </c>
      <c r="E91" s="61">
        <v>23.64</v>
      </c>
      <c r="F91" s="61">
        <v>23.64</v>
      </c>
      <c r="G91" s="61">
        <v>10.72</v>
      </c>
      <c r="H91" s="62">
        <v>10.72</v>
      </c>
      <c r="I91" s="62">
        <v>3.19</v>
      </c>
      <c r="J91" s="62">
        <v>3.19</v>
      </c>
      <c r="K91" s="62">
        <v>2.31</v>
      </c>
      <c r="L91" s="62">
        <v>2.31</v>
      </c>
      <c r="M91" s="62">
        <v>80.82</v>
      </c>
      <c r="N91" s="62">
        <v>80.82</v>
      </c>
      <c r="O91" s="62">
        <v>0.09</v>
      </c>
      <c r="P91" s="62">
        <v>0.09</v>
      </c>
      <c r="Q91" s="62">
        <v>0.1</v>
      </c>
      <c r="R91" s="62">
        <v>0.1</v>
      </c>
      <c r="S91" s="62">
        <v>2.99</v>
      </c>
      <c r="T91" s="62">
        <v>2.99</v>
      </c>
      <c r="U91" s="62">
        <v>23.97</v>
      </c>
      <c r="V91" s="62">
        <v>23.97</v>
      </c>
      <c r="W91" s="62">
        <v>0.61</v>
      </c>
      <c r="X91" s="62">
        <v>0.61</v>
      </c>
      <c r="Y91" s="105"/>
      <c r="Z91" s="105"/>
      <c r="AA91" s="105"/>
      <c r="AB91" s="105"/>
      <c r="AC91" s="105"/>
      <c r="AD91" s="30"/>
      <c r="AE91" s="30"/>
      <c r="AF91" s="30"/>
      <c r="AG91" s="30"/>
    </row>
    <row r="92" spans="1:31" ht="15" customHeight="1">
      <c r="A92" s="127" t="s">
        <v>90</v>
      </c>
      <c r="B92" s="59" t="s">
        <v>91</v>
      </c>
      <c r="C92" s="60" t="s">
        <v>22</v>
      </c>
      <c r="D92" s="60" t="s">
        <v>61</v>
      </c>
      <c r="E92" s="61">
        <v>8.3</v>
      </c>
      <c r="F92" s="61">
        <v>7.2</v>
      </c>
      <c r="G92" s="62">
        <v>3</v>
      </c>
      <c r="H92" s="62">
        <f>G92*130/150</f>
        <v>2.6</v>
      </c>
      <c r="I92" s="62">
        <v>4.8</v>
      </c>
      <c r="J92" s="62">
        <f>I92*130/150</f>
        <v>4.16</v>
      </c>
      <c r="K92" s="62">
        <v>20.4</v>
      </c>
      <c r="L92" s="62">
        <f>K92*130/150</f>
        <v>17.68</v>
      </c>
      <c r="M92" s="62">
        <v>140</v>
      </c>
      <c r="N92" s="62">
        <f>M92*130/150</f>
        <v>121.33333333333333</v>
      </c>
      <c r="O92" s="63">
        <v>0.16</v>
      </c>
      <c r="P92" s="63">
        <v>0</v>
      </c>
      <c r="Q92" s="63">
        <v>0.1</v>
      </c>
      <c r="R92" s="63">
        <f>Q92/1.5</f>
        <v>0.06666666666666667</v>
      </c>
      <c r="S92" s="62">
        <v>18.1</v>
      </c>
      <c r="T92" s="62">
        <f>S92*130/150</f>
        <v>15.686666666666667</v>
      </c>
      <c r="U92" s="65">
        <v>42.66</v>
      </c>
      <c r="V92" s="65">
        <v>35.44</v>
      </c>
      <c r="W92" s="65">
        <v>0.19</v>
      </c>
      <c r="X92" s="65">
        <f>W92/1.5</f>
        <v>0.12666666666666668</v>
      </c>
      <c r="Y92" s="22"/>
      <c r="Z92" s="22"/>
      <c r="AA92" s="22"/>
      <c r="AB92" s="22"/>
      <c r="AC92" s="22"/>
      <c r="AD92" s="22"/>
      <c r="AE92" s="22"/>
    </row>
    <row r="93" spans="1:31" ht="15" customHeight="1">
      <c r="A93" s="128" t="s">
        <v>97</v>
      </c>
      <c r="B93" s="23" t="s">
        <v>98</v>
      </c>
      <c r="C93" s="18" t="s">
        <v>21</v>
      </c>
      <c r="D93" s="18" t="s">
        <v>22</v>
      </c>
      <c r="E93" s="19">
        <v>0.51</v>
      </c>
      <c r="F93" s="19">
        <v>0.38</v>
      </c>
      <c r="G93" s="19">
        <v>0.18</v>
      </c>
      <c r="H93" s="20">
        <v>0.13</v>
      </c>
      <c r="I93" s="19">
        <f>J93*200/150</f>
        <v>0</v>
      </c>
      <c r="J93" s="20">
        <v>0</v>
      </c>
      <c r="K93" s="19">
        <v>4.78</v>
      </c>
      <c r="L93" s="20">
        <v>3.58</v>
      </c>
      <c r="M93" s="19">
        <v>19.9</v>
      </c>
      <c r="N93" s="20">
        <v>14.92</v>
      </c>
      <c r="O93" s="19">
        <f>P93*200/150</f>
        <v>0.013333333333333334</v>
      </c>
      <c r="P93" s="29">
        <v>0.01</v>
      </c>
      <c r="Q93" s="19">
        <f>R93*200/150</f>
        <v>0.013333333333333334</v>
      </c>
      <c r="R93" s="29">
        <v>0.01</v>
      </c>
      <c r="S93" s="19">
        <v>0.04</v>
      </c>
      <c r="T93" s="29">
        <v>0.03</v>
      </c>
      <c r="U93" s="19">
        <f>V93*200/150</f>
        <v>5.053333333333334</v>
      </c>
      <c r="V93" s="29">
        <v>3.79</v>
      </c>
      <c r="W93" s="19">
        <f>X93*200/150</f>
        <v>0.84</v>
      </c>
      <c r="X93" s="79">
        <v>0.63</v>
      </c>
      <c r="Y93" s="22"/>
      <c r="Z93" s="22"/>
      <c r="AA93" s="22"/>
      <c r="AB93" s="22"/>
      <c r="AC93" s="22"/>
      <c r="AD93" s="22"/>
      <c r="AE93" s="22"/>
    </row>
    <row r="94" spans="1:31" s="68" customFormat="1" ht="15" customHeight="1">
      <c r="A94" s="127"/>
      <c r="B94" s="59" t="s">
        <v>30</v>
      </c>
      <c r="C94" s="60" t="s">
        <v>31</v>
      </c>
      <c r="D94" s="60" t="s">
        <v>31</v>
      </c>
      <c r="E94" s="61">
        <v>1.11</v>
      </c>
      <c r="F94" s="61">
        <v>1.11</v>
      </c>
      <c r="G94" s="61">
        <v>1.6</v>
      </c>
      <c r="H94" s="61">
        <v>1.6</v>
      </c>
      <c r="I94" s="61">
        <v>0.4</v>
      </c>
      <c r="J94" s="61">
        <v>0.4</v>
      </c>
      <c r="K94" s="61">
        <v>10</v>
      </c>
      <c r="L94" s="61">
        <v>10</v>
      </c>
      <c r="M94" s="62">
        <v>54</v>
      </c>
      <c r="N94" s="62">
        <v>54</v>
      </c>
      <c r="O94" s="65">
        <v>0.04</v>
      </c>
      <c r="P94" s="66">
        <v>0.04</v>
      </c>
      <c r="Q94" s="65">
        <v>0.02</v>
      </c>
      <c r="R94" s="66">
        <v>0.02</v>
      </c>
      <c r="S94" s="65">
        <v>0</v>
      </c>
      <c r="T94" s="66">
        <v>0</v>
      </c>
      <c r="U94" s="65">
        <v>7.4</v>
      </c>
      <c r="V94" s="66">
        <v>7.4</v>
      </c>
      <c r="W94" s="65">
        <v>0.56</v>
      </c>
      <c r="X94" s="66">
        <v>0.56</v>
      </c>
      <c r="Y94" s="67"/>
      <c r="Z94" s="67"/>
      <c r="AA94" s="67"/>
      <c r="AB94" s="67"/>
      <c r="AC94" s="67"/>
      <c r="AD94" s="67"/>
      <c r="AE94" s="67"/>
    </row>
    <row r="95" spans="1:32" ht="15" customHeight="1">
      <c r="A95" s="16"/>
      <c r="B95" s="17" t="s">
        <v>23</v>
      </c>
      <c r="C95" s="18"/>
      <c r="D95" s="18"/>
      <c r="E95" s="28">
        <f>SUM(E91:E94)</f>
        <v>33.56</v>
      </c>
      <c r="F95" s="28">
        <f>SUM(F91:F94)</f>
        <v>32.33</v>
      </c>
      <c r="G95" s="28">
        <f aca="true" t="shared" si="25" ref="G95:T95">SUM(G91:G94)</f>
        <v>15.5</v>
      </c>
      <c r="H95" s="28">
        <f t="shared" si="25"/>
        <v>15.05</v>
      </c>
      <c r="I95" s="28">
        <f t="shared" si="25"/>
        <v>8.39</v>
      </c>
      <c r="J95" s="28">
        <f t="shared" si="25"/>
        <v>7.75</v>
      </c>
      <c r="K95" s="28">
        <f t="shared" si="25"/>
        <v>37.489999999999995</v>
      </c>
      <c r="L95" s="28">
        <f t="shared" si="25"/>
        <v>33.57</v>
      </c>
      <c r="M95" s="28">
        <f t="shared" si="25"/>
        <v>294.72</v>
      </c>
      <c r="N95" s="28">
        <f t="shared" si="25"/>
        <v>271.07333333333327</v>
      </c>
      <c r="O95" s="28">
        <f t="shared" si="25"/>
        <v>0.3033333333333333</v>
      </c>
      <c r="P95" s="28">
        <f t="shared" si="25"/>
        <v>0.13999999999999999</v>
      </c>
      <c r="Q95" s="28">
        <f t="shared" si="25"/>
        <v>0.23333333333333334</v>
      </c>
      <c r="R95" s="28">
        <f t="shared" si="25"/>
        <v>0.19666666666666668</v>
      </c>
      <c r="S95" s="28">
        <f t="shared" si="25"/>
        <v>21.130000000000003</v>
      </c>
      <c r="T95" s="28">
        <f t="shared" si="25"/>
        <v>18.70666666666667</v>
      </c>
      <c r="U95" s="28">
        <f aca="true" t="shared" si="26" ref="U95:AB95">SUM(U91:U94)</f>
        <v>79.08333333333333</v>
      </c>
      <c r="V95" s="28">
        <f t="shared" si="26"/>
        <v>70.6</v>
      </c>
      <c r="W95" s="28">
        <f t="shared" si="26"/>
        <v>2.2</v>
      </c>
      <c r="X95" s="28">
        <f t="shared" si="26"/>
        <v>1.9266666666666667</v>
      </c>
      <c r="Y95" s="28">
        <f t="shared" si="26"/>
        <v>0</v>
      </c>
      <c r="Z95" s="28">
        <f t="shared" si="26"/>
        <v>0</v>
      </c>
      <c r="AA95" s="28">
        <f t="shared" si="26"/>
        <v>0</v>
      </c>
      <c r="AB95" s="28">
        <f t="shared" si="26"/>
        <v>0</v>
      </c>
      <c r="AC95" s="75"/>
      <c r="AD95" s="22"/>
      <c r="AE95" s="22"/>
      <c r="AF95" s="22"/>
    </row>
    <row r="96" spans="1:32" ht="15" customHeight="1">
      <c r="A96" s="16"/>
      <c r="B96" s="17" t="s">
        <v>37</v>
      </c>
      <c r="C96" s="18"/>
      <c r="D96" s="19"/>
      <c r="E96" s="28">
        <f>E95+E89+E85+E76+E73</f>
        <v>132.07</v>
      </c>
      <c r="F96" s="28">
        <f>F95+F89+F85+F76+F73</f>
        <v>122.62</v>
      </c>
      <c r="G96" s="28">
        <f aca="true" t="shared" si="27" ref="G96:T96">G95+G89+G85+G76+G73</f>
        <v>58.41</v>
      </c>
      <c r="H96" s="28">
        <f t="shared" si="27"/>
        <v>55.089999999999996</v>
      </c>
      <c r="I96" s="28">
        <f t="shared" si="27"/>
        <v>53.44555555555556</v>
      </c>
      <c r="J96" s="28">
        <f t="shared" si="27"/>
        <v>47.486000000000004</v>
      </c>
      <c r="K96" s="28">
        <f t="shared" si="27"/>
        <v>235.32</v>
      </c>
      <c r="L96" s="28">
        <f t="shared" si="27"/>
        <v>196.15999999999997</v>
      </c>
      <c r="M96" s="28">
        <f t="shared" si="27"/>
        <v>1658.8155555555556</v>
      </c>
      <c r="N96" s="28">
        <f t="shared" si="27"/>
        <v>1461.2233333333334</v>
      </c>
      <c r="O96" s="28">
        <f t="shared" si="27"/>
        <v>0.9596666666666667</v>
      </c>
      <c r="P96" s="28">
        <f t="shared" si="27"/>
        <v>0.6133333333333333</v>
      </c>
      <c r="Q96" s="28">
        <f t="shared" si="27"/>
        <v>1.605</v>
      </c>
      <c r="R96" s="28">
        <f t="shared" si="27"/>
        <v>1.2516666666666667</v>
      </c>
      <c r="S96" s="28">
        <f t="shared" si="27"/>
        <v>44.11000000000001</v>
      </c>
      <c r="T96" s="28">
        <f t="shared" si="27"/>
        <v>37.82666666666668</v>
      </c>
      <c r="U96" s="28">
        <f>U95+U89+U85+U76+U73</f>
        <v>1049.1536666666666</v>
      </c>
      <c r="V96" s="28">
        <f>V95+V89+V85+V76+V73</f>
        <v>920.4266666666667</v>
      </c>
      <c r="W96" s="28">
        <f>W95+W89+W85+W76+W73</f>
        <v>13.588666666666667</v>
      </c>
      <c r="X96" s="78">
        <f>X95+X89+X85+X76+X73</f>
        <v>9.27</v>
      </c>
      <c r="Y96" s="75"/>
      <c r="Z96" s="75"/>
      <c r="AA96" s="75"/>
      <c r="AB96" s="75"/>
      <c r="AC96" s="75"/>
      <c r="AD96" s="75"/>
      <c r="AE96" s="75"/>
      <c r="AF96" s="22"/>
    </row>
    <row r="97" spans="1:32" ht="15" customHeight="1">
      <c r="A97" s="16"/>
      <c r="B97" s="88" t="s">
        <v>185</v>
      </c>
      <c r="C97" s="18"/>
      <c r="D97" s="18"/>
      <c r="E97" s="19"/>
      <c r="F97" s="19"/>
      <c r="G97" s="19"/>
      <c r="H97" s="20"/>
      <c r="I97" s="20"/>
      <c r="J97" s="20"/>
      <c r="K97" s="20"/>
      <c r="L97" s="20"/>
      <c r="M97" s="20"/>
      <c r="N97" s="20"/>
      <c r="O97" s="29"/>
      <c r="P97" s="29"/>
      <c r="Q97" s="29"/>
      <c r="R97" s="29"/>
      <c r="S97" s="29"/>
      <c r="T97" s="29"/>
      <c r="U97" s="29"/>
      <c r="V97" s="29"/>
      <c r="W97" s="29"/>
      <c r="X97" s="79"/>
      <c r="Y97" s="22"/>
      <c r="Z97" s="37"/>
      <c r="AA97" s="37"/>
      <c r="AB97" s="37"/>
      <c r="AC97" s="22"/>
      <c r="AD97" s="22"/>
      <c r="AE97" s="22"/>
      <c r="AF97" s="22"/>
    </row>
    <row r="98" spans="1:32" ht="15" customHeight="1">
      <c r="A98" s="16"/>
      <c r="B98" s="90" t="s">
        <v>17</v>
      </c>
      <c r="C98" s="18"/>
      <c r="D98" s="18"/>
      <c r="E98" s="19"/>
      <c r="F98" s="19"/>
      <c r="G98" s="19"/>
      <c r="H98" s="20"/>
      <c r="I98" s="20"/>
      <c r="J98" s="20"/>
      <c r="K98" s="20"/>
      <c r="L98" s="20"/>
      <c r="M98" s="20"/>
      <c r="N98" s="20"/>
      <c r="O98" s="29"/>
      <c r="P98" s="29"/>
      <c r="Q98" s="29"/>
      <c r="R98" s="29"/>
      <c r="S98" s="29"/>
      <c r="T98" s="29"/>
      <c r="U98" s="29"/>
      <c r="V98" s="29"/>
      <c r="W98" s="29"/>
      <c r="X98" s="79"/>
      <c r="Y98" s="22"/>
      <c r="Z98" s="37"/>
      <c r="AA98" s="37"/>
      <c r="AB98" s="37"/>
      <c r="AC98" s="22"/>
      <c r="AD98" s="22"/>
      <c r="AE98" s="22"/>
      <c r="AF98" s="22"/>
    </row>
    <row r="99" spans="1:30" s="31" customFormat="1" ht="15" customHeight="1">
      <c r="A99" s="127" t="s">
        <v>38</v>
      </c>
      <c r="B99" s="59" t="s">
        <v>39</v>
      </c>
      <c r="C99" s="60" t="s">
        <v>93</v>
      </c>
      <c r="D99" s="60" t="s">
        <v>93</v>
      </c>
      <c r="E99" s="61">
        <v>4.03</v>
      </c>
      <c r="F99" s="61">
        <v>4.03</v>
      </c>
      <c r="G99" s="61">
        <v>1.63</v>
      </c>
      <c r="H99" s="62">
        <v>1.63</v>
      </c>
      <c r="I99" s="62">
        <v>4.7</v>
      </c>
      <c r="J99" s="62">
        <v>4.7</v>
      </c>
      <c r="K99" s="62">
        <v>10.4</v>
      </c>
      <c r="L99" s="62">
        <v>10.4</v>
      </c>
      <c r="M99" s="62">
        <v>90.42</v>
      </c>
      <c r="N99" s="62">
        <v>90.42</v>
      </c>
      <c r="O99" s="63">
        <v>0.08</v>
      </c>
      <c r="P99" s="69">
        <v>0.05</v>
      </c>
      <c r="Q99" s="63">
        <v>0.04</v>
      </c>
      <c r="R99" s="69">
        <v>0.02</v>
      </c>
      <c r="S99" s="63">
        <v>0</v>
      </c>
      <c r="T99" s="62">
        <f>S99*25/45</f>
        <v>0</v>
      </c>
      <c r="U99" s="65">
        <v>13.6</v>
      </c>
      <c r="V99" s="66">
        <v>8.6</v>
      </c>
      <c r="W99" s="65">
        <v>0.81</v>
      </c>
      <c r="X99" s="66">
        <v>0.49</v>
      </c>
      <c r="Y99" s="30"/>
      <c r="Z99" s="30"/>
      <c r="AA99" s="30"/>
      <c r="AB99" s="30"/>
      <c r="AC99" s="30"/>
      <c r="AD99" s="30"/>
    </row>
    <row r="100" spans="1:32" ht="27.75" customHeight="1">
      <c r="A100" s="133" t="s">
        <v>143</v>
      </c>
      <c r="B100" s="17" t="s">
        <v>144</v>
      </c>
      <c r="C100" s="18" t="s">
        <v>99</v>
      </c>
      <c r="D100" s="18" t="s">
        <v>100</v>
      </c>
      <c r="E100" s="19">
        <v>11.38</v>
      </c>
      <c r="F100" s="19">
        <v>8.91</v>
      </c>
      <c r="G100" s="142">
        <v>4.4</v>
      </c>
      <c r="H100" s="142">
        <v>4.12</v>
      </c>
      <c r="I100" s="142">
        <v>4.06</v>
      </c>
      <c r="J100" s="142">
        <v>4.03</v>
      </c>
      <c r="K100" s="142">
        <v>26.99</v>
      </c>
      <c r="L100" s="142">
        <v>25.31</v>
      </c>
      <c r="M100" s="142">
        <v>162</v>
      </c>
      <c r="N100" s="142">
        <v>154</v>
      </c>
      <c r="O100" s="143">
        <v>0.17</v>
      </c>
      <c r="P100" s="142">
        <f>O100*150/200</f>
        <v>0.12750000000000003</v>
      </c>
      <c r="Q100" s="143">
        <v>0.26</v>
      </c>
      <c r="R100" s="142">
        <f>Q100*150/200</f>
        <v>0.195</v>
      </c>
      <c r="S100" s="143">
        <v>0</v>
      </c>
      <c r="T100" s="142">
        <v>0</v>
      </c>
      <c r="U100" s="27">
        <v>204.02</v>
      </c>
      <c r="V100" s="19">
        <v>170.02</v>
      </c>
      <c r="W100" s="27">
        <v>0.75</v>
      </c>
      <c r="X100" s="109">
        <f>W100*150/200</f>
        <v>0.5625</v>
      </c>
      <c r="Y100" s="22"/>
      <c r="Z100" s="22"/>
      <c r="AA100" s="22"/>
      <c r="AB100" s="22"/>
      <c r="AC100" s="22"/>
      <c r="AD100" s="22"/>
      <c r="AE100" s="22"/>
      <c r="AF100" s="22"/>
    </row>
    <row r="101" spans="1:31" ht="15.75" customHeight="1">
      <c r="A101" s="127" t="s">
        <v>50</v>
      </c>
      <c r="B101" s="59" t="s">
        <v>40</v>
      </c>
      <c r="C101" s="60" t="s">
        <v>26</v>
      </c>
      <c r="D101" s="60" t="s">
        <v>22</v>
      </c>
      <c r="E101" s="61">
        <v>5.92</v>
      </c>
      <c r="F101" s="61">
        <v>4.78</v>
      </c>
      <c r="G101" s="61">
        <v>2.85</v>
      </c>
      <c r="H101" s="62">
        <v>2.34</v>
      </c>
      <c r="I101" s="61">
        <v>2.41</v>
      </c>
      <c r="J101" s="62">
        <v>2</v>
      </c>
      <c r="K101" s="61">
        <v>14.36</v>
      </c>
      <c r="L101" s="62">
        <v>10.63</v>
      </c>
      <c r="M101" s="61">
        <v>91</v>
      </c>
      <c r="N101" s="62">
        <v>70</v>
      </c>
      <c r="O101" s="61">
        <f>P101*180/150</f>
        <v>0.012</v>
      </c>
      <c r="P101" s="69">
        <v>0.01</v>
      </c>
      <c r="Q101" s="61">
        <f>R101*180/150</f>
        <v>0.084</v>
      </c>
      <c r="R101" s="69">
        <v>0.07</v>
      </c>
      <c r="S101" s="61">
        <v>1.17</v>
      </c>
      <c r="T101" s="62">
        <f>S101*150/180</f>
        <v>0.975</v>
      </c>
      <c r="U101" s="61">
        <f>V101*180/150</f>
        <v>57.516</v>
      </c>
      <c r="V101" s="69">
        <v>47.93</v>
      </c>
      <c r="W101" s="61">
        <f>X101*180/150</f>
        <v>0.264</v>
      </c>
      <c r="X101" s="69">
        <v>0.22</v>
      </c>
      <c r="Y101" s="22"/>
      <c r="Z101" s="22"/>
      <c r="AA101" s="22"/>
      <c r="AB101" s="22"/>
      <c r="AC101" s="22"/>
      <c r="AD101" s="22"/>
      <c r="AE101" s="22"/>
    </row>
    <row r="102" spans="1:32" ht="15" customHeight="1">
      <c r="A102" s="16"/>
      <c r="B102" s="17" t="s">
        <v>23</v>
      </c>
      <c r="C102" s="18"/>
      <c r="D102" s="18"/>
      <c r="E102" s="28">
        <f>SUM(E99:E101)</f>
        <v>21.33</v>
      </c>
      <c r="F102" s="28">
        <f>SUM(F99:F101)</f>
        <v>17.720000000000002</v>
      </c>
      <c r="G102" s="28">
        <f aca="true" t="shared" si="28" ref="G102:T102">SUM(G99:G101)</f>
        <v>8.88</v>
      </c>
      <c r="H102" s="28">
        <f t="shared" si="28"/>
        <v>8.09</v>
      </c>
      <c r="I102" s="28">
        <f t="shared" si="28"/>
        <v>11.17</v>
      </c>
      <c r="J102" s="28">
        <f t="shared" si="28"/>
        <v>10.73</v>
      </c>
      <c r="K102" s="28">
        <f t="shared" si="28"/>
        <v>51.75</v>
      </c>
      <c r="L102" s="28">
        <f t="shared" si="28"/>
        <v>46.34</v>
      </c>
      <c r="M102" s="28">
        <f t="shared" si="28"/>
        <v>343.42</v>
      </c>
      <c r="N102" s="28">
        <f t="shared" si="28"/>
        <v>314.42</v>
      </c>
      <c r="O102" s="28">
        <f t="shared" si="28"/>
        <v>0.262</v>
      </c>
      <c r="P102" s="28">
        <f t="shared" si="28"/>
        <v>0.18750000000000006</v>
      </c>
      <c r="Q102" s="28">
        <f t="shared" si="28"/>
        <v>0.384</v>
      </c>
      <c r="R102" s="28">
        <f t="shared" si="28"/>
        <v>0.28500000000000003</v>
      </c>
      <c r="S102" s="28">
        <f t="shared" si="28"/>
        <v>1.17</v>
      </c>
      <c r="T102" s="28">
        <f t="shared" si="28"/>
        <v>0.975</v>
      </c>
      <c r="U102" s="28">
        <f>SUM(U99:U101)</f>
        <v>275.136</v>
      </c>
      <c r="V102" s="28">
        <f>SUM(V99:V101)</f>
        <v>226.55</v>
      </c>
      <c r="W102" s="28">
        <f>SUM(W99:W101)</f>
        <v>1.824</v>
      </c>
      <c r="X102" s="78">
        <f>SUM(X99:X101)</f>
        <v>1.2725</v>
      </c>
      <c r="Y102" s="75"/>
      <c r="Z102" s="75"/>
      <c r="AA102" s="75"/>
      <c r="AB102" s="75"/>
      <c r="AC102" s="75"/>
      <c r="AD102" s="22"/>
      <c r="AE102" s="22"/>
      <c r="AF102" s="22"/>
    </row>
    <row r="103" spans="1:32" ht="15" customHeight="1">
      <c r="A103" s="16"/>
      <c r="B103" s="90" t="s">
        <v>41</v>
      </c>
      <c r="C103" s="18"/>
      <c r="D103" s="18"/>
      <c r="E103" s="33"/>
      <c r="F103" s="33"/>
      <c r="G103" s="19"/>
      <c r="H103" s="20"/>
      <c r="I103" s="20"/>
      <c r="J103" s="20"/>
      <c r="K103" s="20"/>
      <c r="L103" s="20"/>
      <c r="M103" s="20"/>
      <c r="N103" s="20"/>
      <c r="O103" s="29"/>
      <c r="P103" s="29"/>
      <c r="Q103" s="29"/>
      <c r="R103" s="29"/>
      <c r="S103" s="29"/>
      <c r="T103" s="29"/>
      <c r="U103" s="29"/>
      <c r="V103" s="29"/>
      <c r="W103" s="29"/>
      <c r="X103" s="79"/>
      <c r="Y103" s="22"/>
      <c r="Z103" s="37"/>
      <c r="AA103" s="37"/>
      <c r="AB103" s="37"/>
      <c r="AC103" s="22"/>
      <c r="AD103" s="22"/>
      <c r="AE103" s="22"/>
      <c r="AF103" s="22"/>
    </row>
    <row r="104" spans="1:31" s="32" customFormat="1" ht="15" customHeight="1">
      <c r="A104" s="128" t="s">
        <v>25</v>
      </c>
      <c r="B104" s="17" t="s">
        <v>63</v>
      </c>
      <c r="C104" s="18" t="s">
        <v>153</v>
      </c>
      <c r="D104" s="18" t="s">
        <v>153</v>
      </c>
      <c r="E104" s="19">
        <v>4.32</v>
      </c>
      <c r="F104" s="19">
        <v>4.32</v>
      </c>
      <c r="G104" s="25">
        <v>0</v>
      </c>
      <c r="H104" s="26">
        <v>0</v>
      </c>
      <c r="I104" s="25">
        <f>J104*180/150</f>
        <v>0</v>
      </c>
      <c r="J104" s="26">
        <v>0</v>
      </c>
      <c r="K104" s="25">
        <v>9.6</v>
      </c>
      <c r="L104" s="26">
        <v>9.6</v>
      </c>
      <c r="M104" s="25">
        <v>38.4</v>
      </c>
      <c r="N104" s="26">
        <v>38.4</v>
      </c>
      <c r="O104" s="25">
        <f>P104*180/150</f>
        <v>0</v>
      </c>
      <c r="P104" s="26">
        <v>0</v>
      </c>
      <c r="Q104" s="25">
        <f>R104*180/150</f>
        <v>0.024</v>
      </c>
      <c r="R104" s="26">
        <v>0.02</v>
      </c>
      <c r="S104" s="25">
        <v>3.2</v>
      </c>
      <c r="T104" s="26">
        <v>3.2</v>
      </c>
      <c r="U104" s="25">
        <f>V104*180/150</f>
        <v>9.996</v>
      </c>
      <c r="V104" s="26">
        <v>8.33</v>
      </c>
      <c r="W104" s="25">
        <f>X104*180/150</f>
        <v>0.252</v>
      </c>
      <c r="X104" s="81">
        <v>0.21</v>
      </c>
      <c r="Y104" s="37"/>
      <c r="Z104" s="37"/>
      <c r="AA104" s="37"/>
      <c r="AB104" s="37"/>
      <c r="AC104" s="37"/>
      <c r="AD104" s="37"/>
      <c r="AE104" s="37"/>
    </row>
    <row r="105" spans="1:32" ht="15" customHeight="1">
      <c r="A105" s="16"/>
      <c r="B105" s="17" t="s">
        <v>23</v>
      </c>
      <c r="C105" s="18"/>
      <c r="D105" s="125"/>
      <c r="E105" s="126">
        <f>SUM(E104)</f>
        <v>4.32</v>
      </c>
      <c r="F105" s="126">
        <f>SUM(F104)</f>
        <v>4.32</v>
      </c>
      <c r="G105" s="126">
        <f aca="true" t="shared" si="29" ref="G105:T105">SUM(G104)</f>
        <v>0</v>
      </c>
      <c r="H105" s="126">
        <f t="shared" si="29"/>
        <v>0</v>
      </c>
      <c r="I105" s="126">
        <f t="shared" si="29"/>
        <v>0</v>
      </c>
      <c r="J105" s="126">
        <f t="shared" si="29"/>
        <v>0</v>
      </c>
      <c r="K105" s="126">
        <f t="shared" si="29"/>
        <v>9.6</v>
      </c>
      <c r="L105" s="126">
        <f t="shared" si="29"/>
        <v>9.6</v>
      </c>
      <c r="M105" s="126">
        <f t="shared" si="29"/>
        <v>38.4</v>
      </c>
      <c r="N105" s="126">
        <f t="shared" si="29"/>
        <v>38.4</v>
      </c>
      <c r="O105" s="126">
        <f t="shared" si="29"/>
        <v>0</v>
      </c>
      <c r="P105" s="126">
        <f t="shared" si="29"/>
        <v>0</v>
      </c>
      <c r="Q105" s="126">
        <f t="shared" si="29"/>
        <v>0.024</v>
      </c>
      <c r="R105" s="126">
        <f t="shared" si="29"/>
        <v>0.02</v>
      </c>
      <c r="S105" s="126">
        <f t="shared" si="29"/>
        <v>3.2</v>
      </c>
      <c r="T105" s="126">
        <f t="shared" si="29"/>
        <v>3.2</v>
      </c>
      <c r="U105" s="28">
        <f>SUM(U104)</f>
        <v>9.996</v>
      </c>
      <c r="V105" s="28">
        <f>SUM(V104)</f>
        <v>8.33</v>
      </c>
      <c r="W105" s="28">
        <f>SUM(W104)</f>
        <v>0.252</v>
      </c>
      <c r="X105" s="78">
        <f>SUM(X104)</f>
        <v>0.21</v>
      </c>
      <c r="Y105" s="75"/>
      <c r="Z105" s="75"/>
      <c r="AA105" s="75"/>
      <c r="AB105" s="75"/>
      <c r="AC105" s="75"/>
      <c r="AD105" s="22"/>
      <c r="AE105" s="22"/>
      <c r="AF105" s="22"/>
    </row>
    <row r="106" spans="1:32" ht="15" customHeight="1">
      <c r="A106" s="16"/>
      <c r="B106" s="90" t="s">
        <v>27</v>
      </c>
      <c r="C106" s="18"/>
      <c r="D106" s="18"/>
      <c r="E106" s="34"/>
      <c r="F106" s="34"/>
      <c r="G106" s="19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9"/>
      <c r="U106" s="29"/>
      <c r="V106" s="29"/>
      <c r="W106" s="29"/>
      <c r="X106" s="79"/>
      <c r="Y106" s="22"/>
      <c r="Z106" s="37"/>
      <c r="AA106" s="37"/>
      <c r="AB106" s="37"/>
      <c r="AC106" s="22"/>
      <c r="AD106" s="22"/>
      <c r="AE106" s="22"/>
      <c r="AF106" s="22"/>
    </row>
    <row r="107" spans="1:28" ht="15.75" customHeight="1">
      <c r="A107" s="134" t="s">
        <v>165</v>
      </c>
      <c r="B107" s="59" t="s">
        <v>166</v>
      </c>
      <c r="C107" s="60" t="s">
        <v>167</v>
      </c>
      <c r="D107" s="60" t="s">
        <v>168</v>
      </c>
      <c r="E107" s="61">
        <v>2.43</v>
      </c>
      <c r="F107" s="61">
        <v>1.82</v>
      </c>
      <c r="G107" s="61">
        <v>0.9</v>
      </c>
      <c r="H107" s="62">
        <v>0.67</v>
      </c>
      <c r="I107" s="62">
        <v>2.4</v>
      </c>
      <c r="J107" s="62">
        <v>1.8</v>
      </c>
      <c r="K107" s="62">
        <v>4.8</v>
      </c>
      <c r="L107" s="62">
        <v>3.6</v>
      </c>
      <c r="M107" s="62">
        <v>44.4</v>
      </c>
      <c r="N107" s="62">
        <v>33.28</v>
      </c>
      <c r="O107" s="63">
        <v>0.04</v>
      </c>
      <c r="P107" s="69">
        <v>0.03</v>
      </c>
      <c r="Q107" s="63">
        <v>0.02</v>
      </c>
      <c r="R107" s="69">
        <v>0.02</v>
      </c>
      <c r="S107" s="63">
        <v>5.88</v>
      </c>
      <c r="T107" s="69">
        <v>4.41</v>
      </c>
      <c r="U107" s="62">
        <v>6.13</v>
      </c>
      <c r="V107" s="62">
        <f>U107*45/60</f>
        <v>4.5975</v>
      </c>
      <c r="W107" s="62">
        <v>1.04</v>
      </c>
      <c r="X107" s="62">
        <f>W107*45/60</f>
        <v>0.78</v>
      </c>
      <c r="Z107" s="37"/>
      <c r="AA107" s="37"/>
      <c r="AB107" s="37"/>
    </row>
    <row r="108" spans="1:24" s="31" customFormat="1" ht="27" customHeight="1">
      <c r="A108" s="16" t="s">
        <v>169</v>
      </c>
      <c r="B108" s="23" t="s">
        <v>170</v>
      </c>
      <c r="C108" s="18" t="s">
        <v>78</v>
      </c>
      <c r="D108" s="18" t="s">
        <v>79</v>
      </c>
      <c r="E108" s="148">
        <v>14.49</v>
      </c>
      <c r="F108" s="19">
        <v>13.36</v>
      </c>
      <c r="G108" s="25">
        <v>6.72</v>
      </c>
      <c r="H108" s="25">
        <v>4.61</v>
      </c>
      <c r="I108" s="25">
        <v>8.51</v>
      </c>
      <c r="J108" s="25">
        <v>4.77</v>
      </c>
      <c r="K108" s="25">
        <v>20.31</v>
      </c>
      <c r="L108" s="25">
        <v>17.89</v>
      </c>
      <c r="M108" s="25">
        <v>140.12</v>
      </c>
      <c r="N108" s="25">
        <v>115.5</v>
      </c>
      <c r="O108" s="27">
        <v>0.14</v>
      </c>
      <c r="P108" s="149">
        <v>0.11</v>
      </c>
      <c r="Q108" s="27">
        <v>0.11</v>
      </c>
      <c r="R108" s="149">
        <v>0.11</v>
      </c>
      <c r="S108" s="27">
        <v>10.78</v>
      </c>
      <c r="T108" s="149">
        <v>10.78</v>
      </c>
      <c r="U108" s="27">
        <v>18.09</v>
      </c>
      <c r="V108" s="149">
        <v>18.09</v>
      </c>
      <c r="W108" s="27">
        <v>1.07</v>
      </c>
      <c r="X108" s="149">
        <v>1.07</v>
      </c>
    </row>
    <row r="109" spans="1:30" ht="17.25" customHeight="1">
      <c r="A109" s="128" t="s">
        <v>119</v>
      </c>
      <c r="B109" s="23" t="s">
        <v>120</v>
      </c>
      <c r="C109" s="18" t="s">
        <v>29</v>
      </c>
      <c r="D109" s="18" t="s">
        <v>29</v>
      </c>
      <c r="E109" s="19">
        <v>16.69</v>
      </c>
      <c r="F109" s="19">
        <v>16.69</v>
      </c>
      <c r="G109" s="19">
        <v>9</v>
      </c>
      <c r="H109" s="20">
        <v>9</v>
      </c>
      <c r="I109" s="19">
        <v>10</v>
      </c>
      <c r="J109" s="19">
        <v>10</v>
      </c>
      <c r="K109" s="20">
        <v>3</v>
      </c>
      <c r="L109" s="20">
        <v>3</v>
      </c>
      <c r="M109" s="20">
        <v>139</v>
      </c>
      <c r="N109" s="20">
        <v>139</v>
      </c>
      <c r="O109" s="20">
        <v>0.07</v>
      </c>
      <c r="P109" s="20">
        <v>0.07</v>
      </c>
      <c r="Q109" s="20">
        <v>0.09</v>
      </c>
      <c r="R109" s="20">
        <v>0.09</v>
      </c>
      <c r="S109" s="20">
        <v>0.34</v>
      </c>
      <c r="T109" s="20">
        <v>0.34</v>
      </c>
      <c r="U109" s="20">
        <v>12.73</v>
      </c>
      <c r="V109" s="20">
        <v>12.73</v>
      </c>
      <c r="W109" s="20">
        <v>0.74</v>
      </c>
      <c r="X109" s="39">
        <v>0.74</v>
      </c>
      <c r="Y109" s="83"/>
      <c r="Z109" s="22"/>
      <c r="AA109" s="22"/>
      <c r="AB109" s="22"/>
      <c r="AC109" s="22"/>
      <c r="AD109" s="22"/>
    </row>
    <row r="110" spans="1:29" ht="15.75" customHeight="1">
      <c r="A110" s="127" t="s">
        <v>114</v>
      </c>
      <c r="B110" s="59" t="s">
        <v>101</v>
      </c>
      <c r="C110" s="60" t="s">
        <v>22</v>
      </c>
      <c r="D110" s="60" t="s">
        <v>61</v>
      </c>
      <c r="E110" s="61">
        <v>7.08</v>
      </c>
      <c r="F110" s="61">
        <v>6.14</v>
      </c>
      <c r="G110" s="62">
        <f>H110*150/130</f>
        <v>3.75</v>
      </c>
      <c r="H110" s="62">
        <v>3.25</v>
      </c>
      <c r="I110" s="62">
        <f>J110*150/130</f>
        <v>6.923076923076923</v>
      </c>
      <c r="J110" s="62">
        <v>6</v>
      </c>
      <c r="K110" s="62">
        <f>L110*150/130</f>
        <v>16.153846153846153</v>
      </c>
      <c r="L110" s="62">
        <v>14</v>
      </c>
      <c r="M110" s="62">
        <f>N110*150/130</f>
        <v>141.3</v>
      </c>
      <c r="N110" s="62">
        <v>122.46</v>
      </c>
      <c r="O110" s="63"/>
      <c r="P110" s="62"/>
      <c r="Q110" s="63"/>
      <c r="R110" s="62"/>
      <c r="S110" s="62">
        <f>T110*150/130</f>
        <v>24.553846153846155</v>
      </c>
      <c r="T110" s="62">
        <v>21.28</v>
      </c>
      <c r="U110" s="63">
        <v>21.3</v>
      </c>
      <c r="V110" s="62">
        <f>U110*50/75</f>
        <v>14.2</v>
      </c>
      <c r="W110" s="63">
        <v>0.09</v>
      </c>
      <c r="X110" s="62">
        <f>W110*50/75</f>
        <v>0.06</v>
      </c>
      <c r="Z110" s="22"/>
      <c r="AA110" s="22"/>
      <c r="AB110" s="22"/>
      <c r="AC110" s="22"/>
    </row>
    <row r="111" spans="1:31" ht="27" customHeight="1">
      <c r="A111" s="130" t="s">
        <v>121</v>
      </c>
      <c r="B111" s="38" t="s">
        <v>112</v>
      </c>
      <c r="C111" s="24">
        <v>200</v>
      </c>
      <c r="D111" s="24">
        <v>150</v>
      </c>
      <c r="E111" s="19">
        <v>1.51</v>
      </c>
      <c r="F111" s="19">
        <v>1.13</v>
      </c>
      <c r="G111" s="19">
        <v>0.6</v>
      </c>
      <c r="H111" s="20">
        <f>G111*150/200</f>
        <v>0.45</v>
      </c>
      <c r="I111" s="19">
        <v>0</v>
      </c>
      <c r="J111" s="20">
        <f>I111*150/200</f>
        <v>0</v>
      </c>
      <c r="K111" s="19">
        <v>31.4</v>
      </c>
      <c r="L111" s="20">
        <f>K111*150/200</f>
        <v>23.55</v>
      </c>
      <c r="M111" s="19">
        <v>124</v>
      </c>
      <c r="N111" s="20">
        <f>M111*150/200</f>
        <v>93</v>
      </c>
      <c r="O111" s="20">
        <v>0.02</v>
      </c>
      <c r="P111" s="20">
        <f>O111*150/200</f>
        <v>0.015</v>
      </c>
      <c r="Q111" s="20">
        <v>0.03</v>
      </c>
      <c r="R111" s="20">
        <f>Q111*150/200</f>
        <v>0.0225</v>
      </c>
      <c r="S111" s="20">
        <v>0.45</v>
      </c>
      <c r="T111" s="20">
        <f>S111*150/200</f>
        <v>0.3375</v>
      </c>
      <c r="U111" s="20">
        <v>12.3</v>
      </c>
      <c r="V111" s="20">
        <f>U111*150/200</f>
        <v>9.225</v>
      </c>
      <c r="W111" s="39">
        <v>2</v>
      </c>
      <c r="X111" s="77">
        <f>W111*150/200</f>
        <v>1.5</v>
      </c>
      <c r="Y111" s="22"/>
      <c r="Z111" s="22"/>
      <c r="AA111" s="22"/>
      <c r="AB111" s="22"/>
      <c r="AC111" s="22"/>
      <c r="AD111" s="22"/>
      <c r="AE111" s="22"/>
    </row>
    <row r="112" spans="1:31" s="68" customFormat="1" ht="15" customHeight="1">
      <c r="A112" s="127"/>
      <c r="B112" s="59" t="s">
        <v>30</v>
      </c>
      <c r="C112" s="60" t="s">
        <v>31</v>
      </c>
      <c r="D112" s="60" t="s">
        <v>31</v>
      </c>
      <c r="E112" s="61">
        <v>1.11</v>
      </c>
      <c r="F112" s="61">
        <v>1.11</v>
      </c>
      <c r="G112" s="61">
        <v>1.6</v>
      </c>
      <c r="H112" s="61">
        <v>1.6</v>
      </c>
      <c r="I112" s="61">
        <v>0.4</v>
      </c>
      <c r="J112" s="61">
        <v>0.4</v>
      </c>
      <c r="K112" s="61">
        <v>10</v>
      </c>
      <c r="L112" s="61">
        <v>10</v>
      </c>
      <c r="M112" s="62">
        <v>54</v>
      </c>
      <c r="N112" s="62">
        <v>54</v>
      </c>
      <c r="O112" s="65">
        <v>0.04</v>
      </c>
      <c r="P112" s="66">
        <v>0.04</v>
      </c>
      <c r="Q112" s="65">
        <v>0.02</v>
      </c>
      <c r="R112" s="66">
        <v>0.02</v>
      </c>
      <c r="S112" s="65">
        <v>0</v>
      </c>
      <c r="T112" s="66">
        <v>0</v>
      </c>
      <c r="U112" s="65">
        <v>7.4</v>
      </c>
      <c r="V112" s="66">
        <v>7.4</v>
      </c>
      <c r="W112" s="65">
        <v>0.56</v>
      </c>
      <c r="X112" s="66">
        <v>0.56</v>
      </c>
      <c r="Y112" s="67"/>
      <c r="Z112" s="67"/>
      <c r="AA112" s="67"/>
      <c r="AB112" s="67"/>
      <c r="AC112" s="67"/>
      <c r="AD112" s="67"/>
      <c r="AE112" s="67"/>
    </row>
    <row r="113" spans="1:31" ht="15" customHeight="1">
      <c r="A113" s="127"/>
      <c r="B113" s="59" t="s">
        <v>32</v>
      </c>
      <c r="C113" s="60" t="s">
        <v>80</v>
      </c>
      <c r="D113" s="60" t="s">
        <v>81</v>
      </c>
      <c r="E113" s="61">
        <v>2.09</v>
      </c>
      <c r="F113" s="61">
        <v>1.83</v>
      </c>
      <c r="G113" s="61">
        <v>3.25</v>
      </c>
      <c r="H113" s="62">
        <v>2.84</v>
      </c>
      <c r="I113" s="62">
        <v>0.46</v>
      </c>
      <c r="J113" s="62">
        <f>I113*40.6/46</f>
        <v>0.406</v>
      </c>
      <c r="K113" s="62">
        <v>20.88</v>
      </c>
      <c r="L113" s="62">
        <v>18.27</v>
      </c>
      <c r="M113" s="62">
        <v>102.08</v>
      </c>
      <c r="N113" s="62">
        <v>89.32</v>
      </c>
      <c r="O113" s="63">
        <v>0.06</v>
      </c>
      <c r="P113" s="69">
        <v>0.04</v>
      </c>
      <c r="Q113" s="63">
        <v>0.04</v>
      </c>
      <c r="R113" s="69">
        <v>0.03</v>
      </c>
      <c r="S113" s="63">
        <v>0</v>
      </c>
      <c r="T113" s="62">
        <f>S113*40.6/46</f>
        <v>0</v>
      </c>
      <c r="U113" s="65">
        <v>17</v>
      </c>
      <c r="V113" s="66">
        <v>13.6</v>
      </c>
      <c r="W113" s="65">
        <v>1.15</v>
      </c>
      <c r="X113" s="66">
        <v>0.92</v>
      </c>
      <c r="Y113" s="22"/>
      <c r="Z113" s="22"/>
      <c r="AA113" s="22"/>
      <c r="AB113" s="22"/>
      <c r="AC113" s="22"/>
      <c r="AD113" s="22"/>
      <c r="AE113" s="22"/>
    </row>
    <row r="114" spans="1:32" ht="15" customHeight="1">
      <c r="A114" s="16"/>
      <c r="B114" s="17" t="s">
        <v>23</v>
      </c>
      <c r="C114" s="18"/>
      <c r="D114" s="18"/>
      <c r="E114" s="28">
        <f>SUM(E107:E113)</f>
        <v>45.39999999999999</v>
      </c>
      <c r="F114" s="28">
        <f>SUM(F107:F113)</f>
        <v>42.08</v>
      </c>
      <c r="G114" s="28">
        <f>SUM(G107:G113)-5</f>
        <v>20.820000000000004</v>
      </c>
      <c r="H114" s="28">
        <f>SUM(H107:H113)-3</f>
        <v>19.42</v>
      </c>
      <c r="I114" s="28">
        <f aca="true" t="shared" si="30" ref="I114:R114">SUM(I107:I113)</f>
        <v>28.693076923076923</v>
      </c>
      <c r="J114" s="28">
        <f t="shared" si="30"/>
        <v>23.375999999999998</v>
      </c>
      <c r="K114" s="28">
        <f>SUM(K107:K113)+7</f>
        <v>113.54384615384615</v>
      </c>
      <c r="L114" s="28">
        <f>SUM(L107:L113)+0</f>
        <v>90.31</v>
      </c>
      <c r="M114" s="28">
        <f t="shared" si="30"/>
        <v>744.9</v>
      </c>
      <c r="N114" s="28">
        <f t="shared" si="30"/>
        <v>646.56</v>
      </c>
      <c r="O114" s="28">
        <f t="shared" si="30"/>
        <v>0.37</v>
      </c>
      <c r="P114" s="28">
        <f t="shared" si="30"/>
        <v>0.305</v>
      </c>
      <c r="Q114" s="28">
        <f t="shared" si="30"/>
        <v>0.31</v>
      </c>
      <c r="R114" s="28">
        <f t="shared" si="30"/>
        <v>0.2925</v>
      </c>
      <c r="S114" s="28">
        <f>SUM(S107:S113)-5</f>
        <v>37.003846153846155</v>
      </c>
      <c r="T114" s="28">
        <f>SUM(T107:T113)-5</f>
        <v>32.1475</v>
      </c>
      <c r="U114" s="28">
        <f aca="true" t="shared" si="31" ref="U114:AB114">SUM(U107:U113)-3</f>
        <v>91.95</v>
      </c>
      <c r="V114" s="28">
        <f t="shared" si="31"/>
        <v>76.8425</v>
      </c>
      <c r="W114" s="28">
        <f t="shared" si="31"/>
        <v>3.6500000000000004</v>
      </c>
      <c r="X114" s="28">
        <f t="shared" si="31"/>
        <v>2.630000000000001</v>
      </c>
      <c r="Y114" s="28">
        <f t="shared" si="31"/>
        <v>-3</v>
      </c>
      <c r="Z114" s="28">
        <f t="shared" si="31"/>
        <v>-3</v>
      </c>
      <c r="AA114" s="28">
        <f t="shared" si="31"/>
        <v>-3</v>
      </c>
      <c r="AB114" s="28">
        <f t="shared" si="31"/>
        <v>-3</v>
      </c>
      <c r="AC114" s="75"/>
      <c r="AD114" s="75"/>
      <c r="AE114" s="75"/>
      <c r="AF114" s="75"/>
    </row>
    <row r="115" spans="1:32" ht="15" customHeight="1">
      <c r="A115" s="16"/>
      <c r="B115" s="90" t="s">
        <v>33</v>
      </c>
      <c r="C115" s="18"/>
      <c r="D115" s="1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9"/>
      <c r="P115" s="29"/>
      <c r="Q115" s="29"/>
      <c r="R115" s="29"/>
      <c r="S115" s="29"/>
      <c r="T115" s="29"/>
      <c r="U115" s="29"/>
      <c r="V115" s="29"/>
      <c r="W115" s="29"/>
      <c r="X115" s="79"/>
      <c r="Y115" s="22"/>
      <c r="Z115" s="37"/>
      <c r="AA115" s="37"/>
      <c r="AB115" s="37"/>
      <c r="AC115" s="22"/>
      <c r="AD115" s="22"/>
      <c r="AE115" s="22"/>
      <c r="AF115" s="22"/>
    </row>
    <row r="116" spans="1:31" ht="15" customHeight="1">
      <c r="A116" s="127" t="s">
        <v>34</v>
      </c>
      <c r="B116" s="59" t="s">
        <v>35</v>
      </c>
      <c r="C116" s="60" t="s">
        <v>26</v>
      </c>
      <c r="D116" s="60" t="s">
        <v>26</v>
      </c>
      <c r="E116" s="61">
        <v>10.36</v>
      </c>
      <c r="F116" s="61">
        <v>10.36</v>
      </c>
      <c r="G116" s="61">
        <v>5.31</v>
      </c>
      <c r="H116" s="62">
        <v>5.31</v>
      </c>
      <c r="I116" s="61">
        <v>4.5</v>
      </c>
      <c r="J116" s="62">
        <v>4.5</v>
      </c>
      <c r="K116" s="61">
        <v>8.91</v>
      </c>
      <c r="L116" s="62">
        <v>8.91</v>
      </c>
      <c r="M116" s="61">
        <v>97.38</v>
      </c>
      <c r="N116" s="62">
        <v>97.38</v>
      </c>
      <c r="O116" s="61">
        <v>0.07</v>
      </c>
      <c r="P116" s="62">
        <v>0.07</v>
      </c>
      <c r="Q116" s="61">
        <v>0.3</v>
      </c>
      <c r="R116" s="62">
        <v>0.3</v>
      </c>
      <c r="S116" s="61">
        <v>2.46</v>
      </c>
      <c r="T116" s="62">
        <v>2.46</v>
      </c>
      <c r="U116" s="61">
        <v>275.74</v>
      </c>
      <c r="V116" s="62">
        <v>275.74</v>
      </c>
      <c r="W116" s="61">
        <v>0.23</v>
      </c>
      <c r="X116" s="62">
        <v>0.23</v>
      </c>
      <c r="Y116" s="37"/>
      <c r="Z116" s="37"/>
      <c r="AA116" s="37"/>
      <c r="AB116" s="37"/>
      <c r="AC116" s="37"/>
      <c r="AD116" s="37"/>
      <c r="AE116" s="22"/>
    </row>
    <row r="117" spans="1:32" ht="15" customHeight="1">
      <c r="A117" s="16"/>
      <c r="B117" s="17" t="s">
        <v>23</v>
      </c>
      <c r="C117" s="18"/>
      <c r="D117" s="18"/>
      <c r="E117" s="28">
        <f>SUM(E116)</f>
        <v>10.36</v>
      </c>
      <c r="F117" s="28">
        <f>SUM(F116)</f>
        <v>10.36</v>
      </c>
      <c r="G117" s="28">
        <f aca="true" t="shared" si="32" ref="G117:T117">SUM(G116)</f>
        <v>5.31</v>
      </c>
      <c r="H117" s="28">
        <f t="shared" si="32"/>
        <v>5.31</v>
      </c>
      <c r="I117" s="28">
        <f t="shared" si="32"/>
        <v>4.5</v>
      </c>
      <c r="J117" s="28">
        <f t="shared" si="32"/>
        <v>4.5</v>
      </c>
      <c r="K117" s="28">
        <f t="shared" si="32"/>
        <v>8.91</v>
      </c>
      <c r="L117" s="28">
        <f t="shared" si="32"/>
        <v>8.91</v>
      </c>
      <c r="M117" s="28">
        <f t="shared" si="32"/>
        <v>97.38</v>
      </c>
      <c r="N117" s="28">
        <f t="shared" si="32"/>
        <v>97.38</v>
      </c>
      <c r="O117" s="28">
        <f t="shared" si="32"/>
        <v>0.07</v>
      </c>
      <c r="P117" s="28">
        <f t="shared" si="32"/>
        <v>0.07</v>
      </c>
      <c r="Q117" s="28">
        <f t="shared" si="32"/>
        <v>0.3</v>
      </c>
      <c r="R117" s="28">
        <f t="shared" si="32"/>
        <v>0.3</v>
      </c>
      <c r="S117" s="28">
        <f t="shared" si="32"/>
        <v>2.46</v>
      </c>
      <c r="T117" s="28">
        <f t="shared" si="32"/>
        <v>2.46</v>
      </c>
      <c r="U117" s="28">
        <f>SUM(U116)</f>
        <v>275.74</v>
      </c>
      <c r="V117" s="28">
        <f>SUM(V116)</f>
        <v>275.74</v>
      </c>
      <c r="W117" s="28">
        <f>SUM(W116)</f>
        <v>0.23</v>
      </c>
      <c r="X117" s="78">
        <f>SUM(X116)</f>
        <v>0.23</v>
      </c>
      <c r="Y117" s="75"/>
      <c r="Z117" s="75"/>
      <c r="AA117" s="75"/>
      <c r="AB117" s="75"/>
      <c r="AC117" s="75"/>
      <c r="AD117" s="75"/>
      <c r="AE117" s="22"/>
      <c r="AF117" s="22"/>
    </row>
    <row r="118" spans="1:32" ht="15" customHeight="1">
      <c r="A118" s="16"/>
      <c r="B118" s="90" t="s">
        <v>36</v>
      </c>
      <c r="C118" s="18"/>
      <c r="D118" s="18"/>
      <c r="E118" s="19"/>
      <c r="F118" s="19"/>
      <c r="G118" s="19"/>
      <c r="H118" s="20"/>
      <c r="I118" s="20"/>
      <c r="J118" s="20"/>
      <c r="K118" s="20"/>
      <c r="L118" s="20"/>
      <c r="M118" s="20"/>
      <c r="N118" s="20"/>
      <c r="O118" s="29"/>
      <c r="P118" s="29"/>
      <c r="Q118" s="29"/>
      <c r="R118" s="29"/>
      <c r="S118" s="29"/>
      <c r="T118" s="29"/>
      <c r="U118" s="29"/>
      <c r="V118" s="29"/>
      <c r="W118" s="29"/>
      <c r="X118" s="79"/>
      <c r="Y118" s="22"/>
      <c r="Z118" s="37"/>
      <c r="AA118" s="37"/>
      <c r="AB118" s="37"/>
      <c r="AC118" s="22"/>
      <c r="AD118" s="22"/>
      <c r="AE118" s="22"/>
      <c r="AF118" s="22"/>
    </row>
    <row r="119" spans="1:33" ht="15" customHeight="1">
      <c r="A119" s="128"/>
      <c r="B119" s="17" t="s">
        <v>152</v>
      </c>
      <c r="C119" s="18" t="s">
        <v>22</v>
      </c>
      <c r="D119" s="18" t="s">
        <v>22</v>
      </c>
      <c r="E119" s="19">
        <v>11.01</v>
      </c>
      <c r="F119" s="19">
        <v>11.01</v>
      </c>
      <c r="G119" s="19">
        <v>1.34</v>
      </c>
      <c r="H119" s="20">
        <v>1.34</v>
      </c>
      <c r="I119" s="19">
        <v>0</v>
      </c>
      <c r="J119" s="20">
        <v>0</v>
      </c>
      <c r="K119" s="19">
        <v>12.16</v>
      </c>
      <c r="L119" s="20">
        <v>12.16</v>
      </c>
      <c r="M119" s="19">
        <v>64.5</v>
      </c>
      <c r="N119" s="20">
        <v>64.5</v>
      </c>
      <c r="O119" s="19">
        <v>0.02</v>
      </c>
      <c r="P119" s="20">
        <v>0.02</v>
      </c>
      <c r="Q119" s="19">
        <f>R119*160/150</f>
        <v>0.05333333333333334</v>
      </c>
      <c r="R119" s="20">
        <v>0.05</v>
      </c>
      <c r="S119" s="19">
        <v>23</v>
      </c>
      <c r="T119" s="20">
        <v>23</v>
      </c>
      <c r="U119" s="19">
        <v>24</v>
      </c>
      <c r="V119" s="20">
        <v>24</v>
      </c>
      <c r="W119" s="19">
        <v>3.3</v>
      </c>
      <c r="X119" s="39">
        <v>3.3</v>
      </c>
      <c r="Y119" s="83"/>
      <c r="Z119" s="37"/>
      <c r="AA119" s="37"/>
      <c r="AB119" s="37"/>
      <c r="AC119" s="22"/>
      <c r="AD119" s="22"/>
      <c r="AE119" s="22"/>
      <c r="AF119" s="22"/>
      <c r="AG119" s="22"/>
    </row>
    <row r="120" spans="1:24" s="32" customFormat="1" ht="26.25" customHeight="1">
      <c r="A120" s="128" t="s">
        <v>102</v>
      </c>
      <c r="B120" s="17" t="s">
        <v>103</v>
      </c>
      <c r="C120" s="18" t="s">
        <v>104</v>
      </c>
      <c r="D120" s="18" t="s">
        <v>105</v>
      </c>
      <c r="E120" s="19">
        <v>45.04</v>
      </c>
      <c r="F120" s="19">
        <v>34.14</v>
      </c>
      <c r="G120" s="19">
        <v>27.33</v>
      </c>
      <c r="H120" s="20">
        <v>20.33</v>
      </c>
      <c r="I120" s="20">
        <v>13.87</v>
      </c>
      <c r="J120" s="20">
        <v>11.37</v>
      </c>
      <c r="K120" s="20">
        <v>48.79</v>
      </c>
      <c r="L120" s="20">
        <v>36.29</v>
      </c>
      <c r="M120" s="20">
        <v>429.31</v>
      </c>
      <c r="N120" s="20">
        <v>328.81</v>
      </c>
      <c r="O120" s="115">
        <v>0.14</v>
      </c>
      <c r="P120" s="115">
        <v>0.11</v>
      </c>
      <c r="Q120" s="20">
        <v>0.1</v>
      </c>
      <c r="R120" s="115">
        <v>0.07</v>
      </c>
      <c r="S120" s="115">
        <v>0.57</v>
      </c>
      <c r="T120" s="115">
        <v>0.42</v>
      </c>
      <c r="U120" s="20">
        <v>170.14</v>
      </c>
      <c r="V120" s="20">
        <v>160.13</v>
      </c>
      <c r="W120" s="115">
        <v>0.72</v>
      </c>
      <c r="X120" s="115">
        <v>0.56</v>
      </c>
    </row>
    <row r="121" spans="1:31" ht="15" customHeight="1">
      <c r="A121" s="128" t="s">
        <v>97</v>
      </c>
      <c r="B121" s="23" t="s">
        <v>98</v>
      </c>
      <c r="C121" s="18" t="s">
        <v>21</v>
      </c>
      <c r="D121" s="18" t="s">
        <v>22</v>
      </c>
      <c r="E121" s="19">
        <v>0.51</v>
      </c>
      <c r="F121" s="19">
        <v>0.38</v>
      </c>
      <c r="G121" s="19">
        <v>0.18</v>
      </c>
      <c r="H121" s="20">
        <v>0.13</v>
      </c>
      <c r="I121" s="19">
        <f>J121*200/150</f>
        <v>0</v>
      </c>
      <c r="J121" s="20">
        <v>0</v>
      </c>
      <c r="K121" s="19">
        <v>4.78</v>
      </c>
      <c r="L121" s="20">
        <v>3.58</v>
      </c>
      <c r="M121" s="19">
        <v>19.9</v>
      </c>
      <c r="N121" s="20">
        <v>14.92</v>
      </c>
      <c r="O121" s="19">
        <f>P121*200/150</f>
        <v>0.013333333333333334</v>
      </c>
      <c r="P121" s="29">
        <v>0.01</v>
      </c>
      <c r="Q121" s="19">
        <f>R121*200/150</f>
        <v>0.013333333333333334</v>
      </c>
      <c r="R121" s="29">
        <v>0.01</v>
      </c>
      <c r="S121" s="19">
        <v>0.04</v>
      </c>
      <c r="T121" s="29">
        <v>0.03</v>
      </c>
      <c r="U121" s="19">
        <f>V121*200/150</f>
        <v>5.053333333333334</v>
      </c>
      <c r="V121" s="29">
        <v>3.79</v>
      </c>
      <c r="W121" s="19">
        <f>X121*200/150</f>
        <v>0.84</v>
      </c>
      <c r="X121" s="79">
        <v>0.63</v>
      </c>
      <c r="Y121" s="22"/>
      <c r="Z121" s="22"/>
      <c r="AA121" s="22"/>
      <c r="AB121" s="22"/>
      <c r="AC121" s="22"/>
      <c r="AD121" s="22"/>
      <c r="AE121" s="22"/>
    </row>
    <row r="122" spans="1:31" s="68" customFormat="1" ht="15" customHeight="1">
      <c r="A122" s="127"/>
      <c r="B122" s="59" t="s">
        <v>30</v>
      </c>
      <c r="C122" s="60" t="s">
        <v>31</v>
      </c>
      <c r="D122" s="60" t="s">
        <v>31</v>
      </c>
      <c r="E122" s="61">
        <v>1.11</v>
      </c>
      <c r="F122" s="61">
        <v>1.11</v>
      </c>
      <c r="G122" s="61">
        <v>1.6</v>
      </c>
      <c r="H122" s="61">
        <v>1.6</v>
      </c>
      <c r="I122" s="61">
        <v>0.4</v>
      </c>
      <c r="J122" s="61">
        <v>0.4</v>
      </c>
      <c r="K122" s="61">
        <v>10</v>
      </c>
      <c r="L122" s="61">
        <v>10</v>
      </c>
      <c r="M122" s="62">
        <v>54</v>
      </c>
      <c r="N122" s="62">
        <v>54</v>
      </c>
      <c r="O122" s="65">
        <v>0.04</v>
      </c>
      <c r="P122" s="66">
        <v>0.04</v>
      </c>
      <c r="Q122" s="65">
        <v>0.02</v>
      </c>
      <c r="R122" s="66">
        <v>0.02</v>
      </c>
      <c r="S122" s="65">
        <v>0</v>
      </c>
      <c r="T122" s="66">
        <v>0</v>
      </c>
      <c r="U122" s="65">
        <v>7.4</v>
      </c>
      <c r="V122" s="66">
        <v>7.4</v>
      </c>
      <c r="W122" s="65">
        <v>0.56</v>
      </c>
      <c r="X122" s="66">
        <v>0.56</v>
      </c>
      <c r="Y122" s="67"/>
      <c r="Z122" s="67"/>
      <c r="AA122" s="67"/>
      <c r="AB122" s="67"/>
      <c r="AC122" s="67"/>
      <c r="AD122" s="67"/>
      <c r="AE122" s="67"/>
    </row>
    <row r="123" spans="1:32" ht="15" customHeight="1">
      <c r="A123" s="16"/>
      <c r="B123" s="17" t="s">
        <v>23</v>
      </c>
      <c r="C123" s="18"/>
      <c r="D123" s="18"/>
      <c r="E123" s="28">
        <f>SUM(E119:E122)</f>
        <v>57.669999999999995</v>
      </c>
      <c r="F123" s="28">
        <f>SUM(F119:F122)</f>
        <v>46.64</v>
      </c>
      <c r="G123" s="28">
        <f aca="true" t="shared" si="33" ref="G123:T123">SUM(G119:G122)</f>
        <v>30.45</v>
      </c>
      <c r="H123" s="28">
        <f t="shared" si="33"/>
        <v>23.4</v>
      </c>
      <c r="I123" s="28">
        <f t="shared" si="33"/>
        <v>14.27</v>
      </c>
      <c r="J123" s="28">
        <f t="shared" si="33"/>
        <v>11.77</v>
      </c>
      <c r="K123" s="28">
        <f t="shared" si="33"/>
        <v>75.73</v>
      </c>
      <c r="L123" s="28">
        <f t="shared" si="33"/>
        <v>62.03</v>
      </c>
      <c r="M123" s="28">
        <f t="shared" si="33"/>
        <v>567.71</v>
      </c>
      <c r="N123" s="28">
        <f t="shared" si="33"/>
        <v>462.23</v>
      </c>
      <c r="O123" s="28">
        <f t="shared" si="33"/>
        <v>0.21333333333333335</v>
      </c>
      <c r="P123" s="28">
        <f t="shared" si="33"/>
        <v>0.18000000000000002</v>
      </c>
      <c r="Q123" s="28">
        <f t="shared" si="33"/>
        <v>0.18666666666666668</v>
      </c>
      <c r="R123" s="28">
        <f t="shared" si="33"/>
        <v>0.15</v>
      </c>
      <c r="S123" s="28">
        <f t="shared" si="33"/>
        <v>23.61</v>
      </c>
      <c r="T123" s="28">
        <f t="shared" si="33"/>
        <v>23.450000000000003</v>
      </c>
      <c r="U123" s="28">
        <f aca="true" t="shared" si="34" ref="U123:AB123">SUM(U119:U122)</f>
        <v>206.59333333333333</v>
      </c>
      <c r="V123" s="28">
        <f t="shared" si="34"/>
        <v>195.32</v>
      </c>
      <c r="W123" s="28">
        <f t="shared" si="34"/>
        <v>5.42</v>
      </c>
      <c r="X123" s="28">
        <f t="shared" si="34"/>
        <v>5.050000000000001</v>
      </c>
      <c r="Y123" s="28">
        <f t="shared" si="34"/>
        <v>0</v>
      </c>
      <c r="Z123" s="28">
        <f t="shared" si="34"/>
        <v>0</v>
      </c>
      <c r="AA123" s="28">
        <f t="shared" si="34"/>
        <v>0</v>
      </c>
      <c r="AB123" s="28">
        <f t="shared" si="34"/>
        <v>0</v>
      </c>
      <c r="AC123" s="75"/>
      <c r="AD123" s="22"/>
      <c r="AE123" s="22"/>
      <c r="AF123" s="22"/>
    </row>
    <row r="124" spans="1:32" ht="15" customHeight="1">
      <c r="A124" s="16"/>
      <c r="B124" s="17" t="s">
        <v>37</v>
      </c>
      <c r="C124" s="18"/>
      <c r="D124" s="18"/>
      <c r="E124" s="28">
        <f>E123+E117+E114+E105+E102</f>
        <v>139.07999999999998</v>
      </c>
      <c r="F124" s="28">
        <f>F123+F117+F114+F105+F102</f>
        <v>121.12</v>
      </c>
      <c r="G124" s="28">
        <f aca="true" t="shared" si="35" ref="G124:T124">G123+G117+G114+G105+G102</f>
        <v>65.46</v>
      </c>
      <c r="H124" s="28">
        <f t="shared" si="35"/>
        <v>56.22</v>
      </c>
      <c r="I124" s="28">
        <f t="shared" si="35"/>
        <v>58.63307692307693</v>
      </c>
      <c r="J124" s="28">
        <f t="shared" si="35"/>
        <v>50.376000000000005</v>
      </c>
      <c r="K124" s="28">
        <f t="shared" si="35"/>
        <v>259.5338461538462</v>
      </c>
      <c r="L124" s="28">
        <f t="shared" si="35"/>
        <v>217.19</v>
      </c>
      <c r="M124" s="28">
        <f t="shared" si="35"/>
        <v>1791.8100000000002</v>
      </c>
      <c r="N124" s="28">
        <f t="shared" si="35"/>
        <v>1558.9900000000002</v>
      </c>
      <c r="O124" s="28">
        <f t="shared" si="35"/>
        <v>0.9153333333333333</v>
      </c>
      <c r="P124" s="28">
        <f t="shared" si="35"/>
        <v>0.7424999999999999</v>
      </c>
      <c r="Q124" s="28">
        <f t="shared" si="35"/>
        <v>1.2046666666666668</v>
      </c>
      <c r="R124" s="28">
        <f t="shared" si="35"/>
        <v>1.0474999999999999</v>
      </c>
      <c r="S124" s="28">
        <f t="shared" si="35"/>
        <v>67.44384615384615</v>
      </c>
      <c r="T124" s="28">
        <f t="shared" si="35"/>
        <v>62.23250000000001</v>
      </c>
      <c r="U124" s="28">
        <f>U123+U117+U114+U105+U102</f>
        <v>859.4153333333334</v>
      </c>
      <c r="V124" s="28">
        <f>V123+V117+V114+V105+V102</f>
        <v>782.7825</v>
      </c>
      <c r="W124" s="28">
        <f>W123+W117+W114+W105+W102</f>
        <v>11.376000000000001</v>
      </c>
      <c r="X124" s="78">
        <f>X123+X117+X114+X105+X102</f>
        <v>9.392500000000002</v>
      </c>
      <c r="Y124" s="75"/>
      <c r="Z124" s="75"/>
      <c r="AA124" s="75"/>
      <c r="AB124" s="75"/>
      <c r="AC124" s="75"/>
      <c r="AD124" s="22"/>
      <c r="AE124" s="22"/>
      <c r="AF124" s="22"/>
    </row>
    <row r="125" spans="1:32" ht="15" customHeight="1">
      <c r="A125" s="16"/>
      <c r="B125" s="88" t="s">
        <v>186</v>
      </c>
      <c r="C125" s="18"/>
      <c r="D125" s="18"/>
      <c r="E125" s="19"/>
      <c r="F125" s="28"/>
      <c r="G125" s="19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9"/>
      <c r="U125" s="29"/>
      <c r="V125" s="29"/>
      <c r="W125" s="29"/>
      <c r="X125" s="79"/>
      <c r="Y125" s="22"/>
      <c r="Z125" s="37"/>
      <c r="AA125" s="37"/>
      <c r="AB125" s="37"/>
      <c r="AC125" s="22"/>
      <c r="AD125" s="22"/>
      <c r="AE125" s="22"/>
      <c r="AF125" s="22"/>
    </row>
    <row r="126" spans="1:32" ht="15" customHeight="1">
      <c r="A126" s="16"/>
      <c r="B126" s="90" t="s">
        <v>51</v>
      </c>
      <c r="C126" s="18"/>
      <c r="D126" s="18"/>
      <c r="E126" s="19"/>
      <c r="F126" s="19"/>
      <c r="G126" s="19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9"/>
      <c r="U126" s="29"/>
      <c r="V126" s="29"/>
      <c r="W126" s="29"/>
      <c r="X126" s="79"/>
      <c r="Y126" s="22"/>
      <c r="Z126" s="37"/>
      <c r="AA126" s="37"/>
      <c r="AB126" s="37"/>
      <c r="AC126" s="22"/>
      <c r="AD126" s="22"/>
      <c r="AE126" s="22"/>
      <c r="AF126" s="22"/>
    </row>
    <row r="127" spans="1:30" s="32" customFormat="1" ht="14.25" customHeight="1">
      <c r="A127" s="127" t="s">
        <v>69</v>
      </c>
      <c r="B127" s="59" t="s">
        <v>160</v>
      </c>
      <c r="C127" s="60" t="s">
        <v>93</v>
      </c>
      <c r="D127" s="60" t="s">
        <v>93</v>
      </c>
      <c r="E127" s="61">
        <v>4.35</v>
      </c>
      <c r="F127" s="61">
        <v>4.35</v>
      </c>
      <c r="G127" s="61">
        <v>2.9</v>
      </c>
      <c r="H127" s="62">
        <v>2.9</v>
      </c>
      <c r="I127" s="61">
        <v>1.95</v>
      </c>
      <c r="J127" s="62">
        <v>1.95</v>
      </c>
      <c r="K127" s="61">
        <v>10.4</v>
      </c>
      <c r="L127" s="62">
        <v>10.4</v>
      </c>
      <c r="M127" s="61">
        <v>70.75</v>
      </c>
      <c r="N127" s="62">
        <v>70.75</v>
      </c>
      <c r="O127" s="145">
        <v>0.08</v>
      </c>
      <c r="P127" s="145">
        <f>O127*40/60</f>
        <v>0.05333333333333334</v>
      </c>
      <c r="Q127" s="145">
        <v>0.06</v>
      </c>
      <c r="R127" s="145">
        <f>Q127*40/60</f>
        <v>0.04</v>
      </c>
      <c r="S127" s="61">
        <v>0.14</v>
      </c>
      <c r="T127" s="62">
        <v>0.14</v>
      </c>
      <c r="U127" s="62">
        <v>70.8</v>
      </c>
      <c r="V127" s="62">
        <f>U127*40/60</f>
        <v>47.2</v>
      </c>
      <c r="W127" s="62">
        <v>0.81</v>
      </c>
      <c r="X127" s="84">
        <f>W127*40/60</f>
        <v>0.5400000000000001</v>
      </c>
      <c r="Y127" s="82"/>
      <c r="Z127" s="37"/>
      <c r="AA127" s="37"/>
      <c r="AB127" s="37"/>
      <c r="AC127" s="37"/>
      <c r="AD127" s="37"/>
    </row>
    <row r="128" spans="1:31" ht="15" customHeight="1">
      <c r="A128" s="128" t="s">
        <v>64</v>
      </c>
      <c r="B128" s="17" t="s">
        <v>65</v>
      </c>
      <c r="C128" s="18" t="s">
        <v>66</v>
      </c>
      <c r="D128" s="18" t="s">
        <v>66</v>
      </c>
      <c r="E128" s="19">
        <v>5.95</v>
      </c>
      <c r="F128" s="19">
        <v>5.95</v>
      </c>
      <c r="G128" s="19">
        <v>5.1</v>
      </c>
      <c r="H128" s="19">
        <v>5.1</v>
      </c>
      <c r="I128" s="20">
        <v>4.6</v>
      </c>
      <c r="J128" s="20">
        <v>4.6</v>
      </c>
      <c r="K128" s="20">
        <v>0.3</v>
      </c>
      <c r="L128" s="20">
        <v>0.3</v>
      </c>
      <c r="M128" s="20">
        <v>63</v>
      </c>
      <c r="N128" s="20">
        <v>63</v>
      </c>
      <c r="O128" s="27">
        <v>0.03</v>
      </c>
      <c r="P128" s="27">
        <v>0.03</v>
      </c>
      <c r="Q128" s="27">
        <v>0.18</v>
      </c>
      <c r="R128" s="27">
        <v>0.18</v>
      </c>
      <c r="S128" s="27">
        <v>0</v>
      </c>
      <c r="T128" s="27">
        <v>0</v>
      </c>
      <c r="U128" s="27">
        <v>22</v>
      </c>
      <c r="V128" s="27">
        <v>22</v>
      </c>
      <c r="W128" s="27">
        <v>1.08</v>
      </c>
      <c r="X128" s="80">
        <v>1.08</v>
      </c>
      <c r="Y128" s="22"/>
      <c r="Z128" s="22"/>
      <c r="AA128" s="22"/>
      <c r="AB128" s="22"/>
      <c r="AC128" s="22"/>
      <c r="AD128" s="22"/>
      <c r="AE128" s="22"/>
    </row>
    <row r="129" spans="1:32" ht="27" customHeight="1">
      <c r="A129" s="128" t="s">
        <v>82</v>
      </c>
      <c r="B129" s="17" t="s">
        <v>106</v>
      </c>
      <c r="C129" s="18" t="s">
        <v>21</v>
      </c>
      <c r="D129" s="18" t="s">
        <v>22</v>
      </c>
      <c r="E129" s="19">
        <v>6.7</v>
      </c>
      <c r="F129" s="19">
        <v>5.02</v>
      </c>
      <c r="G129" s="19">
        <v>5.6</v>
      </c>
      <c r="H129" s="19">
        <v>4.2</v>
      </c>
      <c r="I129" s="19">
        <v>5.2</v>
      </c>
      <c r="J129" s="19">
        <f>I129*150/200</f>
        <v>3.9</v>
      </c>
      <c r="K129" s="19">
        <v>18.8</v>
      </c>
      <c r="L129" s="19">
        <f>K129*150/200</f>
        <v>14.1</v>
      </c>
      <c r="M129" s="19">
        <v>144.4</v>
      </c>
      <c r="N129" s="19">
        <f>M129*150/200</f>
        <v>108.3</v>
      </c>
      <c r="O129" s="20">
        <v>0.06</v>
      </c>
      <c r="P129" s="19">
        <f>O129*150/200</f>
        <v>0.045</v>
      </c>
      <c r="Q129" s="20">
        <v>0.15</v>
      </c>
      <c r="R129" s="19">
        <f>Q129*150/200</f>
        <v>0.1125</v>
      </c>
      <c r="S129" s="20">
        <v>0.9</v>
      </c>
      <c r="T129" s="19">
        <v>0.67</v>
      </c>
      <c r="U129" s="20">
        <v>125.06</v>
      </c>
      <c r="V129" s="19">
        <f>U129*150/200</f>
        <v>93.795</v>
      </c>
      <c r="W129" s="20">
        <v>0.35</v>
      </c>
      <c r="X129" s="109">
        <f>W129*150/200</f>
        <v>0.2625</v>
      </c>
      <c r="Y129" s="22"/>
      <c r="Z129" s="22"/>
      <c r="AA129" s="22"/>
      <c r="AB129" s="22"/>
      <c r="AC129" s="22"/>
      <c r="AD129" s="22"/>
      <c r="AE129" s="22"/>
      <c r="AF129" s="22"/>
    </row>
    <row r="130" spans="1:31" ht="15" customHeight="1">
      <c r="A130" s="127" t="s">
        <v>46</v>
      </c>
      <c r="B130" s="59" t="s">
        <v>47</v>
      </c>
      <c r="C130" s="60" t="s">
        <v>26</v>
      </c>
      <c r="D130" s="60" t="s">
        <v>22</v>
      </c>
      <c r="E130" s="61">
        <v>5.87</v>
      </c>
      <c r="F130" s="61">
        <v>4.89</v>
      </c>
      <c r="G130" s="63">
        <v>2.95</v>
      </c>
      <c r="H130" s="63">
        <v>2.46</v>
      </c>
      <c r="I130" s="63">
        <v>3.24</v>
      </c>
      <c r="J130" s="63">
        <v>2.7</v>
      </c>
      <c r="K130" s="63">
        <v>22.82</v>
      </c>
      <c r="L130" s="63">
        <v>19.02</v>
      </c>
      <c r="M130" s="63">
        <v>132.26</v>
      </c>
      <c r="N130" s="62">
        <v>110.22</v>
      </c>
      <c r="O130" s="63">
        <f>P130*180/150</f>
        <v>0.024</v>
      </c>
      <c r="P130" s="69">
        <v>0.02</v>
      </c>
      <c r="Q130" s="63">
        <f>R130*180/150</f>
        <v>0.12</v>
      </c>
      <c r="R130" s="69">
        <v>0.1</v>
      </c>
      <c r="S130" s="63">
        <v>1.43</v>
      </c>
      <c r="T130" s="69">
        <v>1.2</v>
      </c>
      <c r="U130" s="63">
        <f>V130*180/150</f>
        <v>109.58399999999999</v>
      </c>
      <c r="V130" s="69">
        <v>91.32</v>
      </c>
      <c r="W130" s="63">
        <f>X130*180/150</f>
        <v>0.36</v>
      </c>
      <c r="X130" s="69">
        <v>0.3</v>
      </c>
      <c r="Y130" s="22"/>
      <c r="Z130" s="22"/>
      <c r="AA130" s="22"/>
      <c r="AB130" s="22"/>
      <c r="AC130" s="22"/>
      <c r="AD130" s="22"/>
      <c r="AE130" s="22"/>
    </row>
    <row r="131" spans="1:32" ht="15" customHeight="1">
      <c r="A131" s="16"/>
      <c r="B131" s="17" t="s">
        <v>23</v>
      </c>
      <c r="C131" s="18"/>
      <c r="D131" s="18"/>
      <c r="E131" s="28">
        <f>SUM(E127:E130)</f>
        <v>22.87</v>
      </c>
      <c r="F131" s="28">
        <f>SUM(F127:F130)</f>
        <v>20.21</v>
      </c>
      <c r="G131" s="28">
        <f aca="true" t="shared" si="36" ref="G131:T131">SUM(G127:G130)</f>
        <v>16.55</v>
      </c>
      <c r="H131" s="28">
        <f t="shared" si="36"/>
        <v>14.66</v>
      </c>
      <c r="I131" s="28">
        <f t="shared" si="36"/>
        <v>14.99</v>
      </c>
      <c r="J131" s="28">
        <f t="shared" si="36"/>
        <v>13.149999999999999</v>
      </c>
      <c r="K131" s="28">
        <f t="shared" si="36"/>
        <v>52.32</v>
      </c>
      <c r="L131" s="28">
        <f t="shared" si="36"/>
        <v>43.82</v>
      </c>
      <c r="M131" s="28">
        <f t="shared" si="36"/>
        <v>410.40999999999997</v>
      </c>
      <c r="N131" s="28">
        <f t="shared" si="36"/>
        <v>352.27</v>
      </c>
      <c r="O131" s="28">
        <f t="shared" si="36"/>
        <v>0.19399999999999998</v>
      </c>
      <c r="P131" s="28">
        <f t="shared" si="36"/>
        <v>0.14833333333333334</v>
      </c>
      <c r="Q131" s="28">
        <f t="shared" si="36"/>
        <v>0.51</v>
      </c>
      <c r="R131" s="28">
        <f t="shared" si="36"/>
        <v>0.4325</v>
      </c>
      <c r="S131" s="28">
        <f t="shared" si="36"/>
        <v>2.4699999999999998</v>
      </c>
      <c r="T131" s="28">
        <f t="shared" si="36"/>
        <v>2.01</v>
      </c>
      <c r="U131" s="28">
        <f>SUM(U127:U130)</f>
        <v>327.444</v>
      </c>
      <c r="V131" s="28">
        <f>SUM(V127:V130)</f>
        <v>254.315</v>
      </c>
      <c r="W131" s="28">
        <f>SUM(W127:W130)</f>
        <v>2.6</v>
      </c>
      <c r="X131" s="28">
        <f>SUM(X127:X130)</f>
        <v>2.1825</v>
      </c>
      <c r="Y131" s="85">
        <f>SUM(Y127:Y130)</f>
        <v>0</v>
      </c>
      <c r="Z131" s="75"/>
      <c r="AA131" s="75"/>
      <c r="AB131" s="75"/>
      <c r="AC131" s="75"/>
      <c r="AD131" s="22"/>
      <c r="AE131" s="22"/>
      <c r="AF131" s="22"/>
    </row>
    <row r="132" spans="1:32" ht="15" customHeight="1">
      <c r="A132" s="16"/>
      <c r="B132" s="90" t="s">
        <v>52</v>
      </c>
      <c r="C132" s="18"/>
      <c r="D132" s="18"/>
      <c r="E132" s="19"/>
      <c r="F132" s="19"/>
      <c r="G132" s="19"/>
      <c r="H132" s="41"/>
      <c r="I132" s="41"/>
      <c r="J132" s="41"/>
      <c r="K132" s="41"/>
      <c r="L132" s="41"/>
      <c r="M132" s="41"/>
      <c r="N132" s="41"/>
      <c r="O132" s="29"/>
      <c r="P132" s="29"/>
      <c r="Q132" s="29"/>
      <c r="R132" s="29"/>
      <c r="S132" s="29"/>
      <c r="T132" s="29"/>
      <c r="U132" s="29"/>
      <c r="V132" s="29"/>
      <c r="W132" s="29"/>
      <c r="X132" s="79"/>
      <c r="Y132" s="22"/>
      <c r="Z132" s="37"/>
      <c r="AA132" s="37"/>
      <c r="AB132" s="37"/>
      <c r="AC132" s="22"/>
      <c r="AD132" s="22"/>
      <c r="AE132" s="22"/>
      <c r="AF132" s="22"/>
    </row>
    <row r="133" spans="1:30" ht="15" customHeight="1">
      <c r="A133" s="128" t="s">
        <v>43</v>
      </c>
      <c r="B133" s="17" t="s">
        <v>74</v>
      </c>
      <c r="C133" s="18" t="s">
        <v>22</v>
      </c>
      <c r="D133" s="18" t="s">
        <v>159</v>
      </c>
      <c r="E133" s="19">
        <v>12.36</v>
      </c>
      <c r="F133" s="19">
        <v>11.12</v>
      </c>
      <c r="G133" s="25">
        <f>H133*150/135</f>
        <v>4.5</v>
      </c>
      <c r="H133" s="25">
        <v>4.05</v>
      </c>
      <c r="I133" s="25">
        <f>J133*150/135</f>
        <v>3.7555555555555555</v>
      </c>
      <c r="J133" s="25">
        <v>3.38</v>
      </c>
      <c r="K133" s="25">
        <f>L133*150/135</f>
        <v>6</v>
      </c>
      <c r="L133" s="25">
        <v>5.4</v>
      </c>
      <c r="M133" s="25">
        <f>N133*150/135</f>
        <v>75.75555555555557</v>
      </c>
      <c r="N133" s="25">
        <v>68.18</v>
      </c>
      <c r="O133" s="25">
        <f>P133*180/150</f>
        <v>0.06</v>
      </c>
      <c r="P133" s="25">
        <v>0.05</v>
      </c>
      <c r="Q133" s="25">
        <f>R133*180/150</f>
        <v>0.31200000000000006</v>
      </c>
      <c r="R133" s="25">
        <v>0.26</v>
      </c>
      <c r="S133" s="25">
        <f>T133*150/135</f>
        <v>3</v>
      </c>
      <c r="T133" s="25">
        <v>2.7</v>
      </c>
      <c r="U133" s="61">
        <v>235.31</v>
      </c>
      <c r="V133" s="62">
        <f>U133*150/180</f>
        <v>196.09166666666667</v>
      </c>
      <c r="W133" s="61">
        <v>0.19</v>
      </c>
      <c r="X133" s="84">
        <f>W133*150/180</f>
        <v>0.15833333333333333</v>
      </c>
      <c r="Y133" s="82"/>
      <c r="Z133" s="37"/>
      <c r="AA133" s="37"/>
      <c r="AB133" s="37"/>
      <c r="AC133" s="37"/>
      <c r="AD133" s="37"/>
    </row>
    <row r="134" spans="1:32" ht="15" customHeight="1">
      <c r="A134" s="16"/>
      <c r="B134" s="17" t="s">
        <v>23</v>
      </c>
      <c r="C134" s="18"/>
      <c r="D134" s="18"/>
      <c r="E134" s="28">
        <f>SUM(E133)</f>
        <v>12.36</v>
      </c>
      <c r="F134" s="28">
        <f>SUM(F133)</f>
        <v>11.12</v>
      </c>
      <c r="G134" s="28">
        <f aca="true" t="shared" si="37" ref="G134:T134">SUM(G133)</f>
        <v>4.5</v>
      </c>
      <c r="H134" s="28">
        <f t="shared" si="37"/>
        <v>4.05</v>
      </c>
      <c r="I134" s="28">
        <f t="shared" si="37"/>
        <v>3.7555555555555555</v>
      </c>
      <c r="J134" s="28">
        <f t="shared" si="37"/>
        <v>3.38</v>
      </c>
      <c r="K134" s="28">
        <f t="shared" si="37"/>
        <v>6</v>
      </c>
      <c r="L134" s="28">
        <f t="shared" si="37"/>
        <v>5.4</v>
      </c>
      <c r="M134" s="28">
        <f t="shared" si="37"/>
        <v>75.75555555555557</v>
      </c>
      <c r="N134" s="28">
        <f t="shared" si="37"/>
        <v>68.18</v>
      </c>
      <c r="O134" s="28">
        <f t="shared" si="37"/>
        <v>0.06</v>
      </c>
      <c r="P134" s="28">
        <f t="shared" si="37"/>
        <v>0.05</v>
      </c>
      <c r="Q134" s="28">
        <f t="shared" si="37"/>
        <v>0.31200000000000006</v>
      </c>
      <c r="R134" s="28">
        <f t="shared" si="37"/>
        <v>0.26</v>
      </c>
      <c r="S134" s="28">
        <f t="shared" si="37"/>
        <v>3</v>
      </c>
      <c r="T134" s="28">
        <f t="shared" si="37"/>
        <v>2.7</v>
      </c>
      <c r="U134" s="28">
        <f>SUM(U133)</f>
        <v>235.31</v>
      </c>
      <c r="V134" s="28">
        <f>SUM(V133)</f>
        <v>196.09166666666667</v>
      </c>
      <c r="W134" s="28">
        <f>SUM(W133)</f>
        <v>0.19</v>
      </c>
      <c r="X134" s="78">
        <f>SUM(X133)</f>
        <v>0.15833333333333333</v>
      </c>
      <c r="Y134" s="75"/>
      <c r="Z134" s="75"/>
      <c r="AA134" s="75"/>
      <c r="AB134" s="75"/>
      <c r="AC134" s="75"/>
      <c r="AD134" s="75"/>
      <c r="AE134" s="75"/>
      <c r="AF134" s="75"/>
    </row>
    <row r="135" spans="1:32" ht="15" customHeight="1">
      <c r="A135" s="16"/>
      <c r="B135" s="90" t="s">
        <v>27</v>
      </c>
      <c r="C135" s="18"/>
      <c r="D135" s="18"/>
      <c r="E135" s="19"/>
      <c r="F135" s="19"/>
      <c r="G135" s="19"/>
      <c r="H135" s="20"/>
      <c r="I135" s="20"/>
      <c r="J135" s="20"/>
      <c r="K135" s="20"/>
      <c r="L135" s="20"/>
      <c r="M135" s="20"/>
      <c r="N135" s="20"/>
      <c r="O135" s="29"/>
      <c r="P135" s="29"/>
      <c r="Q135" s="29"/>
      <c r="R135" s="29"/>
      <c r="S135" s="29"/>
      <c r="T135" s="29"/>
      <c r="U135" s="29"/>
      <c r="V135" s="29"/>
      <c r="W135" s="29"/>
      <c r="X135" s="79"/>
      <c r="Y135" s="22"/>
      <c r="Z135" s="37"/>
      <c r="AA135" s="37"/>
      <c r="AB135" s="37"/>
      <c r="AC135" s="22"/>
      <c r="AD135" s="22"/>
      <c r="AE135" s="22"/>
      <c r="AF135" s="22"/>
    </row>
    <row r="136" spans="1:24" ht="15.75" customHeight="1">
      <c r="A136" s="134" t="s">
        <v>147</v>
      </c>
      <c r="B136" s="59" t="s">
        <v>171</v>
      </c>
      <c r="C136" s="60" t="s">
        <v>172</v>
      </c>
      <c r="D136" s="60" t="s">
        <v>173</v>
      </c>
      <c r="E136" s="61">
        <v>3.44</v>
      </c>
      <c r="F136" s="61">
        <v>2.58</v>
      </c>
      <c r="G136" s="61">
        <v>0.84</v>
      </c>
      <c r="H136" s="62">
        <f>G136*45/60</f>
        <v>0.63</v>
      </c>
      <c r="I136" s="62">
        <v>6.07</v>
      </c>
      <c r="J136" s="62">
        <f>I136*45/60</f>
        <v>4.5525</v>
      </c>
      <c r="K136" s="62">
        <v>4.08</v>
      </c>
      <c r="L136" s="62">
        <f>K136*45/60</f>
        <v>3.06</v>
      </c>
      <c r="M136" s="62">
        <v>74.4</v>
      </c>
      <c r="N136" s="62">
        <f>M136*45/60</f>
        <v>55.800000000000004</v>
      </c>
      <c r="O136" s="63">
        <v>0.04</v>
      </c>
      <c r="P136" s="69">
        <v>0.03</v>
      </c>
      <c r="Q136" s="63">
        <v>0.02</v>
      </c>
      <c r="R136" s="69">
        <v>0.02</v>
      </c>
      <c r="S136" s="63">
        <v>9.72</v>
      </c>
      <c r="T136" s="62">
        <f>S136*45/60</f>
        <v>7.290000000000001</v>
      </c>
      <c r="U136" s="63">
        <v>13.18</v>
      </c>
      <c r="V136" s="69">
        <v>9.89</v>
      </c>
      <c r="W136" s="63">
        <v>0.62</v>
      </c>
      <c r="X136" s="69">
        <v>0.47</v>
      </c>
    </row>
    <row r="137" spans="1:31" s="31" customFormat="1" ht="23.25" customHeight="1">
      <c r="A137" s="127" t="s">
        <v>146</v>
      </c>
      <c r="B137" s="64" t="s">
        <v>174</v>
      </c>
      <c r="C137" s="60" t="s">
        <v>21</v>
      </c>
      <c r="D137" s="60" t="s">
        <v>22</v>
      </c>
      <c r="E137" s="61">
        <v>4.12</v>
      </c>
      <c r="F137" s="61">
        <v>3.09</v>
      </c>
      <c r="G137" s="63">
        <v>4.96</v>
      </c>
      <c r="H137" s="63">
        <v>3.72</v>
      </c>
      <c r="I137" s="63">
        <v>4.48</v>
      </c>
      <c r="J137" s="63">
        <v>3.36</v>
      </c>
      <c r="K137" s="63">
        <v>17.84</v>
      </c>
      <c r="L137" s="63">
        <v>13.38</v>
      </c>
      <c r="M137" s="63">
        <v>131.52</v>
      </c>
      <c r="N137" s="63">
        <v>98.64</v>
      </c>
      <c r="O137" s="62">
        <v>0.12</v>
      </c>
      <c r="P137" s="62">
        <v>0.11</v>
      </c>
      <c r="Q137" s="62">
        <v>0.1</v>
      </c>
      <c r="R137" s="62">
        <v>0.11</v>
      </c>
      <c r="S137" s="62">
        <v>4.6</v>
      </c>
      <c r="T137" s="63">
        <v>3.45</v>
      </c>
      <c r="U137" s="29">
        <v>42.44</v>
      </c>
      <c r="V137" s="29">
        <v>30.79</v>
      </c>
      <c r="W137" s="29">
        <v>1.67</v>
      </c>
      <c r="X137" s="79">
        <v>1.45</v>
      </c>
      <c r="Y137" s="30"/>
      <c r="Z137" s="30"/>
      <c r="AA137" s="30"/>
      <c r="AB137" s="30"/>
      <c r="AC137" s="30"/>
      <c r="AD137" s="30"/>
      <c r="AE137" s="30"/>
    </row>
    <row r="138" spans="1:29" s="31" customFormat="1" ht="15" customHeight="1">
      <c r="A138" s="128" t="s">
        <v>148</v>
      </c>
      <c r="B138" s="17" t="s">
        <v>149</v>
      </c>
      <c r="C138" s="18" t="s">
        <v>29</v>
      </c>
      <c r="D138" s="18" t="s">
        <v>29</v>
      </c>
      <c r="E138" s="19">
        <v>18.61</v>
      </c>
      <c r="F138" s="19">
        <v>18.61</v>
      </c>
      <c r="G138" s="19">
        <v>10</v>
      </c>
      <c r="H138" s="19">
        <v>10</v>
      </c>
      <c r="I138" s="20">
        <v>3</v>
      </c>
      <c r="J138" s="20">
        <v>3</v>
      </c>
      <c r="K138" s="20">
        <v>6</v>
      </c>
      <c r="L138" s="20">
        <v>6</v>
      </c>
      <c r="M138" s="20">
        <v>90</v>
      </c>
      <c r="N138" s="20">
        <v>90</v>
      </c>
      <c r="O138" s="20">
        <v>0.07</v>
      </c>
      <c r="P138" s="20">
        <v>0.07</v>
      </c>
      <c r="Q138" s="20">
        <v>0.09</v>
      </c>
      <c r="R138" s="20">
        <v>0.09</v>
      </c>
      <c r="S138" s="20">
        <v>0.35</v>
      </c>
      <c r="T138" s="20">
        <v>0.35</v>
      </c>
      <c r="U138" s="29">
        <v>5.85</v>
      </c>
      <c r="V138" s="29">
        <v>5.85</v>
      </c>
      <c r="W138" s="29">
        <v>0.85</v>
      </c>
      <c r="X138" s="29">
        <v>0.85</v>
      </c>
      <c r="Z138" s="30"/>
      <c r="AA138" s="30"/>
      <c r="AB138" s="30"/>
      <c r="AC138" s="30"/>
    </row>
    <row r="139" spans="1:29" ht="15.75" customHeight="1">
      <c r="A139" s="16" t="s">
        <v>18</v>
      </c>
      <c r="B139" s="23" t="s">
        <v>145</v>
      </c>
      <c r="C139" s="24">
        <v>130</v>
      </c>
      <c r="D139" s="24">
        <v>100</v>
      </c>
      <c r="E139" s="19">
        <v>3.02</v>
      </c>
      <c r="F139" s="19">
        <v>2.32</v>
      </c>
      <c r="G139" s="19">
        <v>3.19</v>
      </c>
      <c r="H139" s="20">
        <f>G139*100/130</f>
        <v>2.453846153846154</v>
      </c>
      <c r="I139" s="19">
        <v>3.01</v>
      </c>
      <c r="J139" s="20">
        <f>I139*100/130</f>
        <v>2.3153846153846156</v>
      </c>
      <c r="K139" s="19">
        <v>18.67</v>
      </c>
      <c r="L139" s="20">
        <f>K139*100/130</f>
        <v>14.361538461538464</v>
      </c>
      <c r="M139" s="19">
        <v>107.23</v>
      </c>
      <c r="N139" s="20">
        <f>M139*100/130</f>
        <v>82.48461538461538</v>
      </c>
      <c r="O139" s="25">
        <v>0.03</v>
      </c>
      <c r="P139" s="20">
        <f>O139*125/150</f>
        <v>0.025</v>
      </c>
      <c r="Q139" s="25">
        <v>0.02</v>
      </c>
      <c r="R139" s="20">
        <f>Q139*125/150</f>
        <v>0.016666666666666666</v>
      </c>
      <c r="S139" s="25">
        <v>0</v>
      </c>
      <c r="T139" s="20">
        <f>S139*125/150</f>
        <v>0</v>
      </c>
      <c r="U139" s="20">
        <f>V139*130/100</f>
        <v>11.973000000000003</v>
      </c>
      <c r="V139" s="20">
        <v>9.21</v>
      </c>
      <c r="W139" s="20">
        <f>X139*130/100</f>
        <v>0.9620000000000001</v>
      </c>
      <c r="X139" s="20">
        <v>0.74</v>
      </c>
      <c r="Y139" s="113"/>
      <c r="Z139" s="114"/>
      <c r="AA139" s="114"/>
      <c r="AB139" s="114"/>
      <c r="AC139" s="22"/>
    </row>
    <row r="140" spans="1:31" ht="15.75" customHeight="1">
      <c r="A140" s="128" t="s">
        <v>124</v>
      </c>
      <c r="B140" s="17" t="s">
        <v>187</v>
      </c>
      <c r="C140" s="18" t="s">
        <v>21</v>
      </c>
      <c r="D140" s="18" t="s">
        <v>22</v>
      </c>
      <c r="E140" s="19">
        <v>3.01</v>
      </c>
      <c r="F140" s="19">
        <v>2.26</v>
      </c>
      <c r="G140" s="25">
        <v>0.4</v>
      </c>
      <c r="H140" s="26">
        <v>0.3</v>
      </c>
      <c r="I140" s="25">
        <f>J140*200/150</f>
        <v>0</v>
      </c>
      <c r="J140" s="26">
        <v>0</v>
      </c>
      <c r="K140" s="25">
        <v>27.4</v>
      </c>
      <c r="L140" s="26">
        <v>20.5</v>
      </c>
      <c r="M140" s="25">
        <v>111.2</v>
      </c>
      <c r="N140" s="26">
        <v>83.2</v>
      </c>
      <c r="O140" s="20">
        <v>0.02</v>
      </c>
      <c r="P140" s="20">
        <f>O140*150/200</f>
        <v>0.015</v>
      </c>
      <c r="Q140" s="20">
        <v>0.01</v>
      </c>
      <c r="R140" s="20">
        <f>Q140*150/200</f>
        <v>0.0075</v>
      </c>
      <c r="S140" s="20">
        <v>0</v>
      </c>
      <c r="T140" s="20">
        <v>0</v>
      </c>
      <c r="U140" s="29">
        <v>25.91</v>
      </c>
      <c r="V140" s="20">
        <f>U140*150/200</f>
        <v>19.4325</v>
      </c>
      <c r="W140" s="29">
        <v>0.65</v>
      </c>
      <c r="X140" s="77">
        <f>W140*150/200</f>
        <v>0.4875</v>
      </c>
      <c r="Y140" s="22"/>
      <c r="Z140" s="22"/>
      <c r="AA140" s="22"/>
      <c r="AB140" s="22"/>
      <c r="AC140" s="22"/>
      <c r="AD140" s="22"/>
      <c r="AE140" s="22"/>
    </row>
    <row r="141" spans="1:31" s="68" customFormat="1" ht="15" customHeight="1">
      <c r="A141" s="127"/>
      <c r="B141" s="59" t="s">
        <v>30</v>
      </c>
      <c r="C141" s="60" t="s">
        <v>31</v>
      </c>
      <c r="D141" s="60" t="s">
        <v>31</v>
      </c>
      <c r="E141" s="61">
        <v>1.11</v>
      </c>
      <c r="F141" s="61">
        <v>1.11</v>
      </c>
      <c r="G141" s="61">
        <v>1.6</v>
      </c>
      <c r="H141" s="61">
        <v>1.6</v>
      </c>
      <c r="I141" s="61">
        <v>0.4</v>
      </c>
      <c r="J141" s="61">
        <v>0.4</v>
      </c>
      <c r="K141" s="61">
        <v>10</v>
      </c>
      <c r="L141" s="61">
        <v>10</v>
      </c>
      <c r="M141" s="62">
        <v>54</v>
      </c>
      <c r="N141" s="62">
        <v>54</v>
      </c>
      <c r="O141" s="65">
        <v>0.04</v>
      </c>
      <c r="P141" s="66">
        <v>0.04</v>
      </c>
      <c r="Q141" s="65">
        <v>0.02</v>
      </c>
      <c r="R141" s="66">
        <v>0.02</v>
      </c>
      <c r="S141" s="65">
        <v>0</v>
      </c>
      <c r="T141" s="66">
        <v>0</v>
      </c>
      <c r="U141" s="65">
        <v>7.4</v>
      </c>
      <c r="V141" s="66">
        <v>7.4</v>
      </c>
      <c r="W141" s="65">
        <v>0.56</v>
      </c>
      <c r="X141" s="66">
        <v>0.56</v>
      </c>
      <c r="Y141" s="67"/>
      <c r="Z141" s="67"/>
      <c r="AA141" s="67"/>
      <c r="AB141" s="67"/>
      <c r="AC141" s="67"/>
      <c r="AD141" s="67"/>
      <c r="AE141" s="67"/>
    </row>
    <row r="142" spans="1:31" ht="15" customHeight="1">
      <c r="A142" s="127"/>
      <c r="B142" s="59" t="s">
        <v>32</v>
      </c>
      <c r="C142" s="60" t="s">
        <v>80</v>
      </c>
      <c r="D142" s="60" t="s">
        <v>81</v>
      </c>
      <c r="E142" s="61">
        <v>2.09</v>
      </c>
      <c r="F142" s="61">
        <v>1.83</v>
      </c>
      <c r="G142" s="61">
        <v>3.25</v>
      </c>
      <c r="H142" s="62">
        <v>2.84</v>
      </c>
      <c r="I142" s="62">
        <v>0.46</v>
      </c>
      <c r="J142" s="62">
        <f>I142*40.6/46</f>
        <v>0.406</v>
      </c>
      <c r="K142" s="62">
        <v>20.88</v>
      </c>
      <c r="L142" s="62">
        <v>18.27</v>
      </c>
      <c r="M142" s="62">
        <v>102.08</v>
      </c>
      <c r="N142" s="62">
        <v>89.32</v>
      </c>
      <c r="O142" s="63">
        <v>0.06</v>
      </c>
      <c r="P142" s="69">
        <v>0.04</v>
      </c>
      <c r="Q142" s="63">
        <v>0.04</v>
      </c>
      <c r="R142" s="69">
        <v>0.03</v>
      </c>
      <c r="S142" s="63">
        <v>0</v>
      </c>
      <c r="T142" s="62">
        <f>S142*40.6/46</f>
        <v>0</v>
      </c>
      <c r="U142" s="65">
        <v>17</v>
      </c>
      <c r="V142" s="66">
        <v>13.6</v>
      </c>
      <c r="W142" s="65">
        <v>1.15</v>
      </c>
      <c r="X142" s="66">
        <v>0.92</v>
      </c>
      <c r="Y142" s="22"/>
      <c r="Z142" s="22"/>
      <c r="AA142" s="22"/>
      <c r="AB142" s="22"/>
      <c r="AC142" s="22"/>
      <c r="AD142" s="22"/>
      <c r="AE142" s="22"/>
    </row>
    <row r="143" spans="1:32" ht="15" customHeight="1">
      <c r="A143" s="16"/>
      <c r="B143" s="17" t="s">
        <v>23</v>
      </c>
      <c r="C143" s="18"/>
      <c r="D143" s="18"/>
      <c r="E143" s="28">
        <f>SUM(E136:E142)</f>
        <v>35.400000000000006</v>
      </c>
      <c r="F143" s="28">
        <f>SUM(F136:F142)</f>
        <v>31.799999999999997</v>
      </c>
      <c r="G143" s="28">
        <f>SUM(G136:G142)-2</f>
        <v>22.240000000000002</v>
      </c>
      <c r="H143" s="28">
        <f>SUM(H136:H142)-2</f>
        <v>19.543846153846157</v>
      </c>
      <c r="I143" s="28">
        <f aca="true" t="shared" si="38" ref="I143:T143">SUM(I136:I142)</f>
        <v>17.42</v>
      </c>
      <c r="J143" s="28">
        <f t="shared" si="38"/>
        <v>14.033884615384617</v>
      </c>
      <c r="K143" s="28">
        <f>SUM(K136:K142)+7</f>
        <v>111.87</v>
      </c>
      <c r="L143" s="28">
        <f>SUM(L136:L142)+0</f>
        <v>85.57153846153845</v>
      </c>
      <c r="M143" s="28">
        <f t="shared" si="38"/>
        <v>670.4300000000001</v>
      </c>
      <c r="N143" s="28">
        <f t="shared" si="38"/>
        <v>553.4446153846154</v>
      </c>
      <c r="O143" s="28">
        <f t="shared" si="38"/>
        <v>0.38</v>
      </c>
      <c r="P143" s="28">
        <f t="shared" si="38"/>
        <v>0.32999999999999996</v>
      </c>
      <c r="Q143" s="28">
        <f t="shared" si="38"/>
        <v>0.3</v>
      </c>
      <c r="R143" s="28">
        <f t="shared" si="38"/>
        <v>0.2941666666666667</v>
      </c>
      <c r="S143" s="28">
        <f t="shared" si="38"/>
        <v>14.67</v>
      </c>
      <c r="T143" s="28">
        <f t="shared" si="38"/>
        <v>11.090000000000002</v>
      </c>
      <c r="U143" s="28">
        <f aca="true" t="shared" si="39" ref="U143:AB143">SUM(U136:U142)</f>
        <v>123.753</v>
      </c>
      <c r="V143" s="28">
        <f t="shared" si="39"/>
        <v>96.1725</v>
      </c>
      <c r="W143" s="28">
        <f t="shared" si="39"/>
        <v>6.4620000000000015</v>
      </c>
      <c r="X143" s="28">
        <f t="shared" si="39"/>
        <v>5.477499999999999</v>
      </c>
      <c r="Y143" s="28">
        <f t="shared" si="39"/>
        <v>0</v>
      </c>
      <c r="Z143" s="28">
        <f t="shared" si="39"/>
        <v>0</v>
      </c>
      <c r="AA143" s="28">
        <f t="shared" si="39"/>
        <v>0</v>
      </c>
      <c r="AB143" s="28">
        <f t="shared" si="39"/>
        <v>0</v>
      </c>
      <c r="AC143" s="75"/>
      <c r="AD143" s="22"/>
      <c r="AE143" s="22"/>
      <c r="AF143" s="22"/>
    </row>
    <row r="144" spans="1:32" ht="15" customHeight="1">
      <c r="A144" s="16"/>
      <c r="B144" s="90" t="s">
        <v>33</v>
      </c>
      <c r="C144" s="18"/>
      <c r="D144" s="18"/>
      <c r="E144" s="19"/>
      <c r="F144" s="19"/>
      <c r="G144" s="19"/>
      <c r="H144" s="20"/>
      <c r="I144" s="20"/>
      <c r="J144" s="20"/>
      <c r="K144" s="20"/>
      <c r="L144" s="20"/>
      <c r="M144" s="20"/>
      <c r="N144" s="20"/>
      <c r="O144" s="29"/>
      <c r="P144" s="29"/>
      <c r="Q144" s="29"/>
      <c r="R144" s="29"/>
      <c r="S144" s="29"/>
      <c r="T144" s="29"/>
      <c r="U144" s="29"/>
      <c r="V144" s="29"/>
      <c r="W144" s="29"/>
      <c r="X144" s="79"/>
      <c r="Y144" s="22"/>
      <c r="Z144" s="37"/>
      <c r="AA144" s="37"/>
      <c r="AB144" s="37"/>
      <c r="AC144" s="22"/>
      <c r="AD144" s="22"/>
      <c r="AE144" s="22"/>
      <c r="AF144" s="22"/>
    </row>
    <row r="145" spans="1:30" ht="26.25" customHeight="1">
      <c r="A145" s="127" t="s">
        <v>34</v>
      </c>
      <c r="B145" s="59" t="s">
        <v>156</v>
      </c>
      <c r="C145" s="60" t="s">
        <v>175</v>
      </c>
      <c r="D145" s="60" t="s">
        <v>175</v>
      </c>
      <c r="E145" s="61">
        <v>11.8</v>
      </c>
      <c r="F145" s="61">
        <v>11.8</v>
      </c>
      <c r="G145" s="146">
        <v>6.75</v>
      </c>
      <c r="H145" s="62">
        <v>6.75</v>
      </c>
      <c r="I145" s="146">
        <v>7.02</v>
      </c>
      <c r="J145" s="62">
        <v>7.02</v>
      </c>
      <c r="K145" s="146">
        <v>21.15</v>
      </c>
      <c r="L145" s="62">
        <v>21.15</v>
      </c>
      <c r="M145" s="146">
        <v>174.78</v>
      </c>
      <c r="N145" s="62">
        <v>174.78</v>
      </c>
      <c r="O145" s="146">
        <v>0.1</v>
      </c>
      <c r="P145" s="62">
        <f>O145*215/230</f>
        <v>0.09347826086956522</v>
      </c>
      <c r="Q145" s="146">
        <v>0.29</v>
      </c>
      <c r="R145" s="62">
        <f>Q145*215/230</f>
        <v>0.2710869565217391</v>
      </c>
      <c r="S145" s="146">
        <v>2.46</v>
      </c>
      <c r="T145" s="62">
        <v>2.46</v>
      </c>
      <c r="U145" s="61">
        <v>275.74</v>
      </c>
      <c r="V145" s="62">
        <v>275.74</v>
      </c>
      <c r="W145" s="61">
        <v>0.23</v>
      </c>
      <c r="X145" s="84">
        <v>0.23</v>
      </c>
      <c r="Y145" s="82"/>
      <c r="Z145" s="37"/>
      <c r="AA145" s="37"/>
      <c r="AB145" s="37"/>
      <c r="AC145" s="37"/>
      <c r="AD145" s="32"/>
    </row>
    <row r="146" spans="1:32" ht="15" customHeight="1">
      <c r="A146" s="16"/>
      <c r="B146" s="17" t="s">
        <v>23</v>
      </c>
      <c r="C146" s="18"/>
      <c r="D146" s="18"/>
      <c r="E146" s="28">
        <f>SUM(E145)</f>
        <v>11.8</v>
      </c>
      <c r="F146" s="28">
        <f>SUM(F145)</f>
        <v>11.8</v>
      </c>
      <c r="G146" s="28">
        <f aca="true" t="shared" si="40" ref="G146:T146">SUM(G145)</f>
        <v>6.75</v>
      </c>
      <c r="H146" s="28">
        <f t="shared" si="40"/>
        <v>6.75</v>
      </c>
      <c r="I146" s="28">
        <f t="shared" si="40"/>
        <v>7.02</v>
      </c>
      <c r="J146" s="28">
        <f t="shared" si="40"/>
        <v>7.02</v>
      </c>
      <c r="K146" s="28">
        <f t="shared" si="40"/>
        <v>21.15</v>
      </c>
      <c r="L146" s="28">
        <f t="shared" si="40"/>
        <v>21.15</v>
      </c>
      <c r="M146" s="28">
        <f t="shared" si="40"/>
        <v>174.78</v>
      </c>
      <c r="N146" s="28">
        <f t="shared" si="40"/>
        <v>174.78</v>
      </c>
      <c r="O146" s="28">
        <f t="shared" si="40"/>
        <v>0.1</v>
      </c>
      <c r="P146" s="28">
        <f t="shared" si="40"/>
        <v>0.09347826086956522</v>
      </c>
      <c r="Q146" s="28">
        <f t="shared" si="40"/>
        <v>0.29</v>
      </c>
      <c r="R146" s="28">
        <f t="shared" si="40"/>
        <v>0.2710869565217391</v>
      </c>
      <c r="S146" s="28">
        <f t="shared" si="40"/>
        <v>2.46</v>
      </c>
      <c r="T146" s="28">
        <f t="shared" si="40"/>
        <v>2.46</v>
      </c>
      <c r="U146" s="28">
        <f>SUM(U145)</f>
        <v>275.74</v>
      </c>
      <c r="V146" s="28">
        <f>SUM(V145)</f>
        <v>275.74</v>
      </c>
      <c r="W146" s="28">
        <f>SUM(W145)</f>
        <v>0.23</v>
      </c>
      <c r="X146" s="78">
        <f>SUM(X145)</f>
        <v>0.23</v>
      </c>
      <c r="Y146" s="75"/>
      <c r="Z146" s="75"/>
      <c r="AA146" s="75"/>
      <c r="AB146" s="75"/>
      <c r="AC146" s="75"/>
      <c r="AD146" s="75"/>
      <c r="AE146" s="22"/>
      <c r="AF146" s="22"/>
    </row>
    <row r="147" spans="1:32" ht="15" customHeight="1">
      <c r="A147" s="16"/>
      <c r="B147" s="90" t="s">
        <v>36</v>
      </c>
      <c r="C147" s="18"/>
      <c r="D147" s="18"/>
      <c r="E147" s="34"/>
      <c r="F147" s="34"/>
      <c r="G147" s="19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77"/>
      <c r="Y147" s="37"/>
      <c r="Z147" s="37"/>
      <c r="AA147" s="37"/>
      <c r="AB147" s="37"/>
      <c r="AC147" s="37"/>
      <c r="AD147" s="22"/>
      <c r="AE147" s="22"/>
      <c r="AF147" s="22"/>
    </row>
    <row r="148" spans="1:33" ht="15" customHeight="1">
      <c r="A148" s="128"/>
      <c r="B148" s="17" t="s">
        <v>44</v>
      </c>
      <c r="C148" s="18" t="s">
        <v>190</v>
      </c>
      <c r="D148" s="18" t="s">
        <v>190</v>
      </c>
      <c r="E148" s="19">
        <v>11.37</v>
      </c>
      <c r="F148" s="19">
        <v>11.37</v>
      </c>
      <c r="G148" s="19">
        <v>0.57</v>
      </c>
      <c r="H148" s="20">
        <v>0.57</v>
      </c>
      <c r="I148" s="19">
        <v>0</v>
      </c>
      <c r="J148" s="20">
        <v>0</v>
      </c>
      <c r="K148" s="19">
        <v>14.02</v>
      </c>
      <c r="L148" s="20">
        <v>14.02</v>
      </c>
      <c r="M148" s="19">
        <v>54.38</v>
      </c>
      <c r="N148" s="20">
        <v>54.38</v>
      </c>
      <c r="O148" s="19">
        <v>0.02</v>
      </c>
      <c r="P148" s="20">
        <v>0.02</v>
      </c>
      <c r="Q148" s="19">
        <f>R148*160/150</f>
        <v>0.05333333333333334</v>
      </c>
      <c r="R148" s="20">
        <v>0.05</v>
      </c>
      <c r="S148" s="19">
        <v>22.9</v>
      </c>
      <c r="T148" s="20">
        <v>22.9</v>
      </c>
      <c r="U148" s="19">
        <v>24</v>
      </c>
      <c r="V148" s="20">
        <v>24</v>
      </c>
      <c r="W148" s="19">
        <v>3.3</v>
      </c>
      <c r="X148" s="39">
        <v>3.3</v>
      </c>
      <c r="Y148" s="83"/>
      <c r="Z148" s="37"/>
      <c r="AA148" s="37"/>
      <c r="AB148" s="37"/>
      <c r="AC148" s="22"/>
      <c r="AD148" s="22"/>
      <c r="AE148" s="22"/>
      <c r="AF148" s="22"/>
      <c r="AG148" s="22"/>
    </row>
    <row r="149" spans="1:29" s="36" customFormat="1" ht="25.5" customHeight="1">
      <c r="A149" s="127" t="s">
        <v>116</v>
      </c>
      <c r="B149" s="59" t="s">
        <v>117</v>
      </c>
      <c r="C149" s="60" t="s">
        <v>96</v>
      </c>
      <c r="D149" s="60" t="s">
        <v>67</v>
      </c>
      <c r="E149" s="61">
        <v>11.91</v>
      </c>
      <c r="F149" s="61">
        <v>9.33</v>
      </c>
      <c r="G149" s="61">
        <v>6.12</v>
      </c>
      <c r="H149" s="62">
        <v>4.8</v>
      </c>
      <c r="I149" s="61">
        <v>16.41</v>
      </c>
      <c r="J149" s="62">
        <v>14</v>
      </c>
      <c r="K149" s="61">
        <v>27.9</v>
      </c>
      <c r="L149" s="62">
        <v>20.1</v>
      </c>
      <c r="M149" s="61">
        <v>283.77</v>
      </c>
      <c r="N149" s="62">
        <v>225.6</v>
      </c>
      <c r="O149" s="62">
        <v>0.2</v>
      </c>
      <c r="P149" s="62">
        <v>0.14</v>
      </c>
      <c r="Q149" s="62">
        <v>0.13</v>
      </c>
      <c r="R149" s="62">
        <v>0.1</v>
      </c>
      <c r="S149" s="61">
        <v>13.5</v>
      </c>
      <c r="T149" s="62">
        <v>11.2</v>
      </c>
      <c r="U149" s="62">
        <v>95.29</v>
      </c>
      <c r="V149" s="62">
        <v>73.98</v>
      </c>
      <c r="W149" s="62">
        <v>2.33</v>
      </c>
      <c r="X149" s="84">
        <v>1.57</v>
      </c>
      <c r="Y149" s="107"/>
      <c r="Z149" s="105"/>
      <c r="AA149" s="105"/>
      <c r="AB149" s="105"/>
      <c r="AC149" s="105"/>
    </row>
    <row r="150" spans="1:31" ht="15" customHeight="1">
      <c r="A150" s="128" t="s">
        <v>97</v>
      </c>
      <c r="B150" s="23" t="s">
        <v>98</v>
      </c>
      <c r="C150" s="18" t="s">
        <v>21</v>
      </c>
      <c r="D150" s="18" t="s">
        <v>22</v>
      </c>
      <c r="E150" s="19">
        <v>0.51</v>
      </c>
      <c r="F150" s="19">
        <v>0.38</v>
      </c>
      <c r="G150" s="19">
        <v>0.18</v>
      </c>
      <c r="H150" s="20">
        <v>0.13</v>
      </c>
      <c r="I150" s="19">
        <f>J150*200/150</f>
        <v>0</v>
      </c>
      <c r="J150" s="20">
        <v>0</v>
      </c>
      <c r="K150" s="19">
        <v>4.78</v>
      </c>
      <c r="L150" s="20">
        <v>3.58</v>
      </c>
      <c r="M150" s="19">
        <v>19.9</v>
      </c>
      <c r="N150" s="20">
        <v>14.92</v>
      </c>
      <c r="O150" s="19">
        <f>P150*200/150</f>
        <v>0.013333333333333334</v>
      </c>
      <c r="P150" s="29">
        <v>0.01</v>
      </c>
      <c r="Q150" s="19">
        <f>R150*200/150</f>
        <v>0.013333333333333334</v>
      </c>
      <c r="R150" s="29">
        <v>0.01</v>
      </c>
      <c r="S150" s="19">
        <v>0.04</v>
      </c>
      <c r="T150" s="29">
        <v>0.03</v>
      </c>
      <c r="U150" s="19">
        <f>V150*200/150</f>
        <v>5.053333333333334</v>
      </c>
      <c r="V150" s="29">
        <v>3.79</v>
      </c>
      <c r="W150" s="19">
        <f>X150*200/150</f>
        <v>0.84</v>
      </c>
      <c r="X150" s="79">
        <v>0.63</v>
      </c>
      <c r="Y150" s="22"/>
      <c r="Z150" s="22"/>
      <c r="AA150" s="22"/>
      <c r="AB150" s="22"/>
      <c r="AC150" s="22"/>
      <c r="AD150" s="22"/>
      <c r="AE150" s="22"/>
    </row>
    <row r="151" spans="1:31" s="68" customFormat="1" ht="15" customHeight="1">
      <c r="A151" s="127"/>
      <c r="B151" s="59" t="s">
        <v>30</v>
      </c>
      <c r="C151" s="60" t="s">
        <v>31</v>
      </c>
      <c r="D151" s="60" t="s">
        <v>31</v>
      </c>
      <c r="E151" s="61">
        <v>1.11</v>
      </c>
      <c r="F151" s="61">
        <v>1.11</v>
      </c>
      <c r="G151" s="61">
        <v>1.6</v>
      </c>
      <c r="H151" s="61">
        <v>1.6</v>
      </c>
      <c r="I151" s="61">
        <v>0.4</v>
      </c>
      <c r="J151" s="61">
        <v>0.4</v>
      </c>
      <c r="K151" s="61">
        <v>10</v>
      </c>
      <c r="L151" s="61">
        <v>10</v>
      </c>
      <c r="M151" s="62">
        <v>54</v>
      </c>
      <c r="N151" s="62">
        <v>54</v>
      </c>
      <c r="O151" s="65">
        <v>0.04</v>
      </c>
      <c r="P151" s="66">
        <v>0.04</v>
      </c>
      <c r="Q151" s="65">
        <v>0.02</v>
      </c>
      <c r="R151" s="66">
        <v>0.02</v>
      </c>
      <c r="S151" s="65">
        <v>0</v>
      </c>
      <c r="T151" s="66">
        <v>0</v>
      </c>
      <c r="U151" s="65">
        <v>7.4</v>
      </c>
      <c r="V151" s="66">
        <v>7.4</v>
      </c>
      <c r="W151" s="65">
        <v>0.56</v>
      </c>
      <c r="X151" s="66">
        <v>0.56</v>
      </c>
      <c r="Y151" s="67"/>
      <c r="Z151" s="67"/>
      <c r="AA151" s="67"/>
      <c r="AB151" s="67"/>
      <c r="AC151" s="67"/>
      <c r="AD151" s="67"/>
      <c r="AE151" s="67"/>
    </row>
    <row r="152" spans="1:32" ht="15" customHeight="1">
      <c r="A152" s="16"/>
      <c r="B152" s="17" t="s">
        <v>23</v>
      </c>
      <c r="C152" s="18"/>
      <c r="D152" s="19"/>
      <c r="E152" s="28">
        <f>SUM(E148:E151)</f>
        <v>24.900000000000002</v>
      </c>
      <c r="F152" s="28">
        <f>SUM(F148:F151)</f>
        <v>22.189999999999998</v>
      </c>
      <c r="G152" s="28">
        <f aca="true" t="shared" si="41" ref="G152:T152">SUM(G148:G151)</f>
        <v>8.47</v>
      </c>
      <c r="H152" s="28">
        <f t="shared" si="41"/>
        <v>7.1</v>
      </c>
      <c r="I152" s="28">
        <f t="shared" si="41"/>
        <v>16.81</v>
      </c>
      <c r="J152" s="28">
        <f t="shared" si="41"/>
        <v>14.4</v>
      </c>
      <c r="K152" s="28">
        <f t="shared" si="41"/>
        <v>56.7</v>
      </c>
      <c r="L152" s="28">
        <f t="shared" si="41"/>
        <v>47.7</v>
      </c>
      <c r="M152" s="28">
        <f t="shared" si="41"/>
        <v>412.04999999999995</v>
      </c>
      <c r="N152" s="28">
        <f t="shared" si="41"/>
        <v>348.90000000000003</v>
      </c>
      <c r="O152" s="28">
        <f t="shared" si="41"/>
        <v>0.2733333333333333</v>
      </c>
      <c r="P152" s="28">
        <f t="shared" si="41"/>
        <v>0.21000000000000002</v>
      </c>
      <c r="Q152" s="28">
        <f t="shared" si="41"/>
        <v>0.21666666666666667</v>
      </c>
      <c r="R152" s="28">
        <f t="shared" si="41"/>
        <v>0.18000000000000002</v>
      </c>
      <c r="S152" s="28">
        <f t="shared" si="41"/>
        <v>36.44</v>
      </c>
      <c r="T152" s="28">
        <f t="shared" si="41"/>
        <v>34.129999999999995</v>
      </c>
      <c r="U152" s="28">
        <f aca="true" t="shared" si="42" ref="U152:AB152">SUM(U148:U151)</f>
        <v>131.74333333333334</v>
      </c>
      <c r="V152" s="28">
        <f t="shared" si="42"/>
        <v>109.17000000000002</v>
      </c>
      <c r="W152" s="28">
        <f t="shared" si="42"/>
        <v>7.029999999999999</v>
      </c>
      <c r="X152" s="28">
        <f t="shared" si="42"/>
        <v>6.0600000000000005</v>
      </c>
      <c r="Y152" s="28">
        <f t="shared" si="42"/>
        <v>0</v>
      </c>
      <c r="Z152" s="28">
        <f t="shared" si="42"/>
        <v>0</v>
      </c>
      <c r="AA152" s="28">
        <f t="shared" si="42"/>
        <v>0</v>
      </c>
      <c r="AB152" s="28">
        <f t="shared" si="42"/>
        <v>0</v>
      </c>
      <c r="AC152" s="75"/>
      <c r="AD152" s="75"/>
      <c r="AE152" s="75"/>
      <c r="AF152" s="22"/>
    </row>
    <row r="153" spans="1:32" ht="15" customHeight="1">
      <c r="A153" s="16"/>
      <c r="B153" s="17" t="s">
        <v>37</v>
      </c>
      <c r="C153" s="18"/>
      <c r="D153" s="18"/>
      <c r="E153" s="28">
        <f>E152+E146+E143+E134+E131</f>
        <v>107.33000000000001</v>
      </c>
      <c r="F153" s="28">
        <f>F152+F146+F143+F134+F131</f>
        <v>97.12</v>
      </c>
      <c r="G153" s="28">
        <f aca="true" t="shared" si="43" ref="G153:T153">G152+G146+G143+G134+G131</f>
        <v>58.510000000000005</v>
      </c>
      <c r="H153" s="28">
        <f t="shared" si="43"/>
        <v>52.10384615384615</v>
      </c>
      <c r="I153" s="28">
        <f t="shared" si="43"/>
        <v>59.995555555555555</v>
      </c>
      <c r="J153" s="28">
        <f t="shared" si="43"/>
        <v>51.98388461538462</v>
      </c>
      <c r="K153" s="28">
        <f t="shared" si="43"/>
        <v>248.04</v>
      </c>
      <c r="L153" s="28">
        <f t="shared" si="43"/>
        <v>203.64153846153843</v>
      </c>
      <c r="M153" s="28">
        <f t="shared" si="43"/>
        <v>1743.4255555555555</v>
      </c>
      <c r="N153" s="28">
        <f t="shared" si="43"/>
        <v>1497.5746153846155</v>
      </c>
      <c r="O153" s="28">
        <f t="shared" si="43"/>
        <v>1.0073333333333332</v>
      </c>
      <c r="P153" s="28">
        <f t="shared" si="43"/>
        <v>0.8318115942028986</v>
      </c>
      <c r="Q153" s="28">
        <f t="shared" si="43"/>
        <v>1.6286666666666667</v>
      </c>
      <c r="R153" s="28">
        <f t="shared" si="43"/>
        <v>1.437753623188406</v>
      </c>
      <c r="S153" s="28">
        <f t="shared" si="43"/>
        <v>59.04</v>
      </c>
      <c r="T153" s="28">
        <f t="shared" si="43"/>
        <v>52.39</v>
      </c>
      <c r="U153" s="74">
        <f>U152+U146+U143+U134+U131</f>
        <v>1093.9903333333334</v>
      </c>
      <c r="V153" s="28">
        <f>V152+V146+V143+V134+V131</f>
        <v>931.4891666666667</v>
      </c>
      <c r="W153" s="28">
        <f>W152+W146+W143+W134+W131</f>
        <v>16.512</v>
      </c>
      <c r="X153" s="78">
        <f>X152+X146+X143+X134+X131</f>
        <v>14.108333333333334</v>
      </c>
      <c r="Y153" s="75"/>
      <c r="Z153" s="75"/>
      <c r="AA153" s="75"/>
      <c r="AB153" s="75"/>
      <c r="AC153" s="75"/>
      <c r="AD153" s="22"/>
      <c r="AE153" s="22"/>
      <c r="AF153" s="22"/>
    </row>
    <row r="154" spans="25:29" ht="15" customHeight="1">
      <c r="Y154" s="21"/>
      <c r="Z154" s="37"/>
      <c r="AA154" s="37"/>
      <c r="AB154" s="37"/>
      <c r="AC154" s="22"/>
    </row>
    <row r="155" spans="2:29" ht="15" customHeight="1">
      <c r="B155" s="42"/>
      <c r="C155" s="43"/>
      <c r="D155" s="43"/>
      <c r="E155" s="44"/>
      <c r="F155" s="44"/>
      <c r="G155" s="44"/>
      <c r="H155" s="44"/>
      <c r="I155" s="44"/>
      <c r="J155" s="44"/>
      <c r="K155" s="44"/>
      <c r="L155" s="44"/>
      <c r="M155" s="44"/>
      <c r="N155" s="44"/>
      <c r="O155" s="35"/>
      <c r="P155" s="35"/>
      <c r="Q155" s="35"/>
      <c r="R155" s="35"/>
      <c r="S155" s="35"/>
      <c r="T155" s="35"/>
      <c r="U155" s="35"/>
      <c r="V155" s="35"/>
      <c r="W155" s="35"/>
      <c r="X155" s="35"/>
      <c r="Y155" s="21"/>
      <c r="Z155" s="37"/>
      <c r="AA155" s="37"/>
      <c r="AB155" s="37"/>
      <c r="AC155" s="22"/>
    </row>
    <row r="156" spans="2:29" ht="15" customHeight="1">
      <c r="B156" s="42"/>
      <c r="C156" s="43"/>
      <c r="D156" s="43"/>
      <c r="E156" s="44"/>
      <c r="F156" s="44"/>
      <c r="G156" s="44"/>
      <c r="H156" s="44"/>
      <c r="I156" s="44"/>
      <c r="J156" s="44"/>
      <c r="K156" s="44"/>
      <c r="L156" s="44"/>
      <c r="M156" s="44"/>
      <c r="N156" s="44"/>
      <c r="O156" s="35"/>
      <c r="P156" s="35"/>
      <c r="Q156" s="35"/>
      <c r="R156" s="35"/>
      <c r="S156" s="35"/>
      <c r="T156" s="35"/>
      <c r="U156" s="35"/>
      <c r="V156" s="35"/>
      <c r="W156" s="35"/>
      <c r="X156" s="35"/>
      <c r="Y156" s="21"/>
      <c r="Z156" s="37"/>
      <c r="AA156" s="37"/>
      <c r="AB156" s="37"/>
      <c r="AC156" s="22"/>
    </row>
    <row r="157" spans="2:29" ht="15" customHeight="1">
      <c r="B157" s="42"/>
      <c r="C157" s="43"/>
      <c r="D157" s="43"/>
      <c r="E157" s="44"/>
      <c r="F157" s="44"/>
      <c r="G157" s="44"/>
      <c r="H157" s="44"/>
      <c r="I157" s="44"/>
      <c r="J157" s="44"/>
      <c r="K157" s="44"/>
      <c r="L157" s="44"/>
      <c r="M157" s="44"/>
      <c r="N157" s="44"/>
      <c r="O157" s="35"/>
      <c r="P157" s="35"/>
      <c r="Q157" s="35"/>
      <c r="R157" s="35"/>
      <c r="S157" s="35"/>
      <c r="T157" s="35"/>
      <c r="U157" s="35"/>
      <c r="V157" s="35"/>
      <c r="W157" s="35"/>
      <c r="X157" s="35"/>
      <c r="Y157" s="21"/>
      <c r="Z157" s="37"/>
      <c r="AA157" s="37"/>
      <c r="AB157" s="37"/>
      <c r="AC157" s="22"/>
    </row>
    <row r="158" spans="2:29" ht="15" customHeight="1">
      <c r="B158" s="42"/>
      <c r="C158" s="43"/>
      <c r="D158" s="43"/>
      <c r="E158" s="44"/>
      <c r="F158" s="44"/>
      <c r="G158" s="44"/>
      <c r="H158" s="44"/>
      <c r="I158" s="44"/>
      <c r="J158" s="44"/>
      <c r="K158" s="44"/>
      <c r="L158" s="44"/>
      <c r="M158" s="44"/>
      <c r="N158" s="44"/>
      <c r="O158" s="35"/>
      <c r="P158" s="35"/>
      <c r="Q158" s="35"/>
      <c r="R158" s="35"/>
      <c r="S158" s="35"/>
      <c r="T158" s="35"/>
      <c r="U158" s="35"/>
      <c r="V158" s="35"/>
      <c r="W158" s="35"/>
      <c r="X158" s="35"/>
      <c r="Y158" s="21"/>
      <c r="Z158" s="37"/>
      <c r="AA158" s="37"/>
      <c r="AB158" s="37"/>
      <c r="AC158" s="22"/>
    </row>
    <row r="159" spans="1:29" s="68" customFormat="1" ht="24" customHeight="1">
      <c r="A159" s="1"/>
      <c r="B159" s="158"/>
      <c r="C159" s="158"/>
      <c r="D159" s="158"/>
      <c r="E159" s="153" t="s">
        <v>4</v>
      </c>
      <c r="F159" s="153"/>
      <c r="G159" s="153" t="s">
        <v>5</v>
      </c>
      <c r="H159" s="153"/>
      <c r="I159" s="153"/>
      <c r="J159" s="153"/>
      <c r="K159" s="153"/>
      <c r="L159" s="153"/>
      <c r="M159" s="159" t="s">
        <v>6</v>
      </c>
      <c r="N159" s="159"/>
      <c r="O159" s="156" t="s">
        <v>7</v>
      </c>
      <c r="P159" s="156"/>
      <c r="Q159" s="156"/>
      <c r="R159" s="156"/>
      <c r="S159" s="156"/>
      <c r="T159" s="156"/>
      <c r="U159" s="157" t="s">
        <v>8</v>
      </c>
      <c r="V159" s="157"/>
      <c r="W159" s="157"/>
      <c r="X159" s="157"/>
      <c r="Y159" s="92"/>
      <c r="Z159" s="98"/>
      <c r="AA159" s="98"/>
      <c r="AB159" s="98"/>
      <c r="AC159" s="67"/>
    </row>
    <row r="160" spans="1:29" s="68" customFormat="1" ht="15" customHeight="1">
      <c r="A160" s="1"/>
      <c r="B160" s="158"/>
      <c r="C160" s="158"/>
      <c r="D160" s="158"/>
      <c r="E160" s="153"/>
      <c r="F160" s="153"/>
      <c r="G160" s="153" t="s">
        <v>9</v>
      </c>
      <c r="H160" s="153"/>
      <c r="I160" s="153" t="s">
        <v>10</v>
      </c>
      <c r="J160" s="153"/>
      <c r="K160" s="153" t="s">
        <v>11</v>
      </c>
      <c r="L160" s="153"/>
      <c r="M160" s="159"/>
      <c r="N160" s="159"/>
      <c r="O160" s="154" t="s">
        <v>70</v>
      </c>
      <c r="P160" s="154"/>
      <c r="Q160" s="154" t="s">
        <v>56</v>
      </c>
      <c r="R160" s="154"/>
      <c r="S160" s="154" t="s">
        <v>12</v>
      </c>
      <c r="T160" s="154"/>
      <c r="U160" s="154" t="s">
        <v>13</v>
      </c>
      <c r="V160" s="154"/>
      <c r="W160" s="151" t="s">
        <v>14</v>
      </c>
      <c r="X160" s="151"/>
      <c r="Y160" s="92"/>
      <c r="Z160" s="98"/>
      <c r="AA160" s="98"/>
      <c r="AB160" s="98"/>
      <c r="AC160" s="67"/>
    </row>
    <row r="161" spans="1:29" s="68" customFormat="1" ht="15" customHeight="1">
      <c r="A161" s="1"/>
      <c r="B161" s="158"/>
      <c r="C161" s="158"/>
      <c r="D161" s="158"/>
      <c r="E161" s="93" t="s">
        <v>15</v>
      </c>
      <c r="F161" s="93" t="s">
        <v>16</v>
      </c>
      <c r="G161" s="93" t="s">
        <v>15</v>
      </c>
      <c r="H161" s="93" t="s">
        <v>16</v>
      </c>
      <c r="I161" s="93" t="s">
        <v>15</v>
      </c>
      <c r="J161" s="93" t="s">
        <v>16</v>
      </c>
      <c r="K161" s="93" t="s">
        <v>15</v>
      </c>
      <c r="L161" s="93" t="s">
        <v>16</v>
      </c>
      <c r="M161" s="93" t="s">
        <v>15</v>
      </c>
      <c r="N161" s="93" t="s">
        <v>16</v>
      </c>
      <c r="O161" s="93" t="s">
        <v>15</v>
      </c>
      <c r="P161" s="93" t="s">
        <v>16</v>
      </c>
      <c r="Q161" s="93" t="s">
        <v>15</v>
      </c>
      <c r="R161" s="93" t="s">
        <v>16</v>
      </c>
      <c r="S161" s="93" t="s">
        <v>15</v>
      </c>
      <c r="T161" s="93" t="s">
        <v>16</v>
      </c>
      <c r="U161" s="93" t="s">
        <v>15</v>
      </c>
      <c r="V161" s="93" t="s">
        <v>16</v>
      </c>
      <c r="W161" s="93" t="s">
        <v>15</v>
      </c>
      <c r="X161" s="94" t="s">
        <v>16</v>
      </c>
      <c r="Y161" s="92"/>
      <c r="Z161" s="98"/>
      <c r="AA161" s="98"/>
      <c r="AB161" s="98"/>
      <c r="AC161" s="67"/>
    </row>
    <row r="162" spans="1:29" s="68" customFormat="1" ht="15" customHeight="1">
      <c r="A162" s="1"/>
      <c r="B162" s="152" t="s">
        <v>53</v>
      </c>
      <c r="C162" s="152"/>
      <c r="D162" s="152"/>
      <c r="E162" s="20">
        <f>E153+E124+E96+E67+E38</f>
        <v>608.26</v>
      </c>
      <c r="F162" s="20">
        <f>F153+F124+F96+F67+F38</f>
        <v>537.33</v>
      </c>
      <c r="G162" s="95">
        <f>G153-13+G124+G96+G67+G38</f>
        <v>283.49</v>
      </c>
      <c r="H162" s="95">
        <f>H153-40.5+H124+H96+H67+H38</f>
        <v>220.07697115384616</v>
      </c>
      <c r="I162" s="95">
        <f>I153+I124+I96+I67+I38</f>
        <v>286.53418803418805</v>
      </c>
      <c r="J162" s="95">
        <f>J153+J124+J96+J67+J38</f>
        <v>244.36538461538464</v>
      </c>
      <c r="K162" s="95">
        <f aca="true" t="shared" si="44" ref="K162:R162">K153+K124+K96+K67+K38</f>
        <v>1243.4488461538463</v>
      </c>
      <c r="L162" s="95">
        <f t="shared" si="44"/>
        <v>1015.2788301282051</v>
      </c>
      <c r="M162" s="95">
        <f t="shared" si="44"/>
        <v>8642.261111111113</v>
      </c>
      <c r="N162" s="95">
        <f t="shared" si="44"/>
        <v>7349.240448717948</v>
      </c>
      <c r="O162" s="20">
        <f t="shared" si="44"/>
        <v>4.8229999999999995</v>
      </c>
      <c r="P162" s="20">
        <f t="shared" si="44"/>
        <v>3.744170749132476</v>
      </c>
      <c r="Q162" s="20">
        <f t="shared" si="44"/>
        <v>6.767333333333333</v>
      </c>
      <c r="R162" s="20">
        <f t="shared" si="44"/>
        <v>5.710183200653194</v>
      </c>
      <c r="S162" s="20">
        <f>S153-20+S124+S96+S67+S38</f>
        <v>261.6008461538462</v>
      </c>
      <c r="T162" s="20">
        <f>T153-8+T124+T96+T67+T38</f>
        <v>235.81291666666667</v>
      </c>
      <c r="U162" s="95" t="e">
        <f>U153+U124+U96+U67+U38</f>
        <v>#REF!</v>
      </c>
      <c r="V162" s="95" t="e">
        <f>V153+V124+V96+V67+V38</f>
        <v>#REF!</v>
      </c>
      <c r="W162" s="20" t="e">
        <f>W153+W124+W96+W67+W38</f>
        <v>#REF!</v>
      </c>
      <c r="X162" s="96" t="e">
        <f>X153+X124+X96+X67+X38</f>
        <v>#REF!</v>
      </c>
      <c r="Y162" s="92"/>
      <c r="Z162" s="98"/>
      <c r="AA162" s="98"/>
      <c r="AB162" s="98"/>
      <c r="AC162" s="67"/>
    </row>
    <row r="163" spans="1:29" s="68" customFormat="1" ht="15" customHeight="1">
      <c r="A163" s="1"/>
      <c r="B163" s="155" t="s">
        <v>54</v>
      </c>
      <c r="C163" s="155"/>
      <c r="D163" s="155"/>
      <c r="E163" s="20">
        <f>E162/5</f>
        <v>121.652</v>
      </c>
      <c r="F163" s="20">
        <f>F162/5</f>
        <v>107.46600000000001</v>
      </c>
      <c r="G163" s="20">
        <f aca="true" t="shared" si="45" ref="G163:X163">G162/5</f>
        <v>56.698</v>
      </c>
      <c r="H163" s="20">
        <f t="shared" si="45"/>
        <v>44.01539423076923</v>
      </c>
      <c r="I163" s="20">
        <f t="shared" si="45"/>
        <v>57.30683760683761</v>
      </c>
      <c r="J163" s="20">
        <f t="shared" si="45"/>
        <v>48.87307692307693</v>
      </c>
      <c r="K163" s="20">
        <f t="shared" si="45"/>
        <v>248.68976923076926</v>
      </c>
      <c r="L163" s="20">
        <f t="shared" si="45"/>
        <v>203.05576602564102</v>
      </c>
      <c r="M163" s="20">
        <f>M162/5</f>
        <v>1728.4522222222226</v>
      </c>
      <c r="N163" s="20">
        <f>N162/5</f>
        <v>1469.8480897435898</v>
      </c>
      <c r="O163" s="97">
        <f t="shared" si="45"/>
        <v>0.9645999999999999</v>
      </c>
      <c r="P163" s="97">
        <f t="shared" si="45"/>
        <v>0.7488341498264952</v>
      </c>
      <c r="Q163" s="97">
        <f t="shared" si="45"/>
        <v>1.3534666666666666</v>
      </c>
      <c r="R163" s="97">
        <f t="shared" si="45"/>
        <v>1.1420366401306388</v>
      </c>
      <c r="S163" s="20">
        <f t="shared" si="45"/>
        <v>52.32016923076924</v>
      </c>
      <c r="T163" s="20">
        <f t="shared" si="45"/>
        <v>47.16258333333333</v>
      </c>
      <c r="U163" s="20" t="e">
        <f t="shared" si="45"/>
        <v>#REF!</v>
      </c>
      <c r="V163" s="20" t="e">
        <f t="shared" si="45"/>
        <v>#REF!</v>
      </c>
      <c r="W163" s="39" t="e">
        <f t="shared" si="45"/>
        <v>#REF!</v>
      </c>
      <c r="X163" s="62" t="e">
        <f t="shared" si="45"/>
        <v>#REF!</v>
      </c>
      <c r="Y163" s="67"/>
      <c r="Z163" s="98"/>
      <c r="AA163" s="98"/>
      <c r="AB163" s="98"/>
      <c r="AC163" s="67"/>
    </row>
    <row r="164" spans="1:29" s="68" customFormat="1" ht="15" customHeight="1">
      <c r="A164" s="1"/>
      <c r="B164" s="45"/>
      <c r="C164" s="45"/>
      <c r="D164" s="45"/>
      <c r="E164" s="45"/>
      <c r="F164" s="45"/>
      <c r="G164" s="45"/>
      <c r="H164" s="45"/>
      <c r="I164" s="45"/>
      <c r="J164" s="45"/>
      <c r="K164" s="45"/>
      <c r="L164" s="45"/>
      <c r="M164" s="46"/>
      <c r="N164" s="47"/>
      <c r="X164" s="67"/>
      <c r="Y164" s="67"/>
      <c r="Z164" s="67"/>
      <c r="AA164" s="67"/>
      <c r="AB164" s="67"/>
      <c r="AC164" s="67"/>
    </row>
    <row r="165" spans="1:29" s="68" customFormat="1" ht="15" customHeight="1">
      <c r="A165" s="1"/>
      <c r="B165" s="45"/>
      <c r="C165" s="45"/>
      <c r="D165" s="45"/>
      <c r="E165" s="45"/>
      <c r="F165" s="45"/>
      <c r="G165" s="45"/>
      <c r="H165" s="45"/>
      <c r="I165" s="45"/>
      <c r="J165" s="45"/>
      <c r="K165" s="45"/>
      <c r="L165" s="45"/>
      <c r="X165" s="67"/>
      <c r="Y165" s="67"/>
      <c r="Z165" s="67"/>
      <c r="AA165" s="67"/>
      <c r="AB165" s="67"/>
      <c r="AC165" s="67"/>
    </row>
    <row r="166" spans="1:29" s="68" customFormat="1" ht="15" customHeight="1">
      <c r="A166" s="1"/>
      <c r="B166" s="45"/>
      <c r="C166" s="45"/>
      <c r="D166" s="45"/>
      <c r="E166" s="45"/>
      <c r="F166" s="45"/>
      <c r="G166" s="45"/>
      <c r="H166" s="45"/>
      <c r="I166" s="45"/>
      <c r="J166" s="45"/>
      <c r="K166" s="45"/>
      <c r="L166" s="45"/>
      <c r="X166" s="67"/>
      <c r="Y166" s="67"/>
      <c r="Z166" s="67"/>
      <c r="AA166" s="67"/>
      <c r="AB166" s="67"/>
      <c r="AC166" s="67"/>
    </row>
    <row r="167" spans="1:25" s="68" customFormat="1" ht="15" customHeight="1">
      <c r="A167" s="1"/>
      <c r="B167" s="48" t="s">
        <v>62</v>
      </c>
      <c r="C167" s="48"/>
      <c r="D167" s="48"/>
      <c r="E167" s="101"/>
      <c r="F167" s="101"/>
      <c r="G167" s="48"/>
      <c r="H167" s="48"/>
      <c r="I167" s="48"/>
      <c r="J167" s="48"/>
      <c r="K167" s="48"/>
      <c r="L167" s="48"/>
      <c r="X167" s="67"/>
      <c r="Y167" s="67"/>
    </row>
    <row r="168" spans="1:25" s="68" customFormat="1" ht="15" customHeight="1">
      <c r="A168" s="1"/>
      <c r="B168" s="48" t="s">
        <v>55</v>
      </c>
      <c r="C168" s="48"/>
      <c r="D168" s="48"/>
      <c r="E168" s="101"/>
      <c r="F168" s="101"/>
      <c r="G168" s="48"/>
      <c r="H168" s="48"/>
      <c r="I168" s="48"/>
      <c r="J168" s="48"/>
      <c r="K168" s="48"/>
      <c r="L168" s="48"/>
      <c r="X168" s="67"/>
      <c r="Y168" s="67"/>
    </row>
    <row r="169" spans="1:25" s="68" customFormat="1" ht="15" customHeight="1">
      <c r="A169" s="1"/>
      <c r="B169" s="48"/>
      <c r="C169" s="48"/>
      <c r="D169" s="48"/>
      <c r="E169" s="101"/>
      <c r="F169" s="101"/>
      <c r="G169" s="48"/>
      <c r="H169" s="48"/>
      <c r="I169" s="48"/>
      <c r="J169" s="48"/>
      <c r="K169" s="48"/>
      <c r="L169" s="48"/>
      <c r="X169" s="67"/>
      <c r="Y169" s="67"/>
    </row>
    <row r="170" spans="1:14" s="68" customFormat="1" ht="15" customHeight="1">
      <c r="A170" s="1"/>
      <c r="B170" s="54"/>
      <c r="C170" s="54"/>
      <c r="D170" s="54"/>
      <c r="E170" s="55"/>
      <c r="F170" s="56"/>
      <c r="G170" s="57"/>
      <c r="H170" s="57"/>
      <c r="I170" s="57"/>
      <c r="J170" s="57"/>
      <c r="K170" s="100"/>
      <c r="L170" s="100"/>
      <c r="M170" s="100"/>
      <c r="N170" s="100"/>
    </row>
    <row r="171" spans="1:14" s="68" customFormat="1" ht="15" customHeight="1">
      <c r="A171" s="1"/>
      <c r="B171" s="49" t="s">
        <v>57</v>
      </c>
      <c r="C171" s="50"/>
      <c r="D171" s="58"/>
      <c r="E171" s="104"/>
      <c r="F171" s="104"/>
      <c r="G171" s="58"/>
      <c r="H171" s="50"/>
      <c r="I171" s="50"/>
      <c r="J171" s="50" t="s">
        <v>58</v>
      </c>
      <c r="K171" s="50"/>
      <c r="L171" s="50"/>
      <c r="M171" s="47"/>
      <c r="N171" s="47"/>
    </row>
    <row r="172" spans="1:14" s="68" customFormat="1" ht="15" customHeight="1">
      <c r="A172" s="1"/>
      <c r="B172" s="49"/>
      <c r="C172" s="50"/>
      <c r="D172" s="58"/>
      <c r="E172" s="104"/>
      <c r="F172" s="104"/>
      <c r="G172" s="58"/>
      <c r="H172" s="50"/>
      <c r="I172" s="50"/>
      <c r="J172" s="50"/>
      <c r="K172" s="50"/>
      <c r="L172" s="50"/>
      <c r="M172" s="47"/>
      <c r="N172" s="47"/>
    </row>
    <row r="173" spans="1:14" s="68" customFormat="1" ht="15" customHeight="1">
      <c r="A173" s="1"/>
      <c r="B173" s="51" t="s">
        <v>59</v>
      </c>
      <c r="C173" s="51"/>
      <c r="D173" s="51"/>
      <c r="E173" s="103"/>
      <c r="F173" s="103"/>
      <c r="G173" s="51"/>
      <c r="H173" s="50"/>
      <c r="I173" s="51"/>
      <c r="J173" s="50" t="s">
        <v>60</v>
      </c>
      <c r="K173" s="50"/>
      <c r="L173" s="50"/>
      <c r="M173" s="47"/>
      <c r="N173" s="47"/>
    </row>
    <row r="174" spans="1:14" s="68" customFormat="1" ht="15" customHeight="1">
      <c r="A174" s="1"/>
      <c r="B174" s="49"/>
      <c r="C174" s="50"/>
      <c r="D174" s="50"/>
      <c r="E174" s="102"/>
      <c r="F174" s="102"/>
      <c r="G174" s="50"/>
      <c r="H174" s="50"/>
      <c r="I174" s="50"/>
      <c r="J174" s="50"/>
      <c r="K174" s="50"/>
      <c r="L174" s="50"/>
      <c r="M174" s="47"/>
      <c r="N174" s="47"/>
    </row>
    <row r="175" spans="1:14" s="68" customFormat="1" ht="15" customHeight="1">
      <c r="A175" s="1"/>
      <c r="B175" s="110" t="s">
        <v>88</v>
      </c>
      <c r="C175" s="49"/>
      <c r="D175" s="49"/>
      <c r="E175" s="50"/>
      <c r="F175" s="50"/>
      <c r="G175" s="49"/>
      <c r="H175" s="49"/>
      <c r="I175" s="49"/>
      <c r="J175" s="110" t="s">
        <v>140</v>
      </c>
      <c r="K175" s="49"/>
      <c r="L175" s="50"/>
      <c r="M175" s="99"/>
      <c r="N175" s="99"/>
    </row>
    <row r="176" spans="1:14" s="68" customFormat="1" ht="15" customHeight="1">
      <c r="A176" s="1"/>
      <c r="B176" s="49"/>
      <c r="C176" s="50"/>
      <c r="D176" s="50"/>
      <c r="E176" s="102"/>
      <c r="F176" s="102"/>
      <c r="G176" s="50"/>
      <c r="H176" s="50"/>
      <c r="I176" s="50"/>
      <c r="J176" s="50"/>
      <c r="K176" s="50"/>
      <c r="L176" s="50"/>
      <c r="M176" s="99"/>
      <c r="N176" s="99"/>
    </row>
    <row r="177" spans="1:14" s="68" customFormat="1" ht="15" customHeight="1">
      <c r="A177" s="1"/>
      <c r="B177" s="51" t="s">
        <v>135</v>
      </c>
      <c r="C177" s="103"/>
      <c r="D177" s="103"/>
      <c r="E177" s="103"/>
      <c r="F177" s="103"/>
      <c r="G177" s="51"/>
      <c r="H177" s="51"/>
      <c r="I177" s="51"/>
      <c r="J177" s="50" t="s">
        <v>136</v>
      </c>
      <c r="K177" s="50"/>
      <c r="L177" s="50"/>
      <c r="M177" s="99"/>
      <c r="N177" s="99"/>
    </row>
    <row r="178" spans="1:14" s="68" customFormat="1" ht="15" customHeight="1">
      <c r="A178" s="1"/>
      <c r="B178" s="52"/>
      <c r="C178" s="53"/>
      <c r="D178" s="53"/>
      <c r="E178" s="53"/>
      <c r="F178" s="53"/>
      <c r="G178" s="53"/>
      <c r="H178" s="53"/>
      <c r="I178" s="53"/>
      <c r="J178" s="53"/>
      <c r="K178" s="53"/>
      <c r="L178" s="53"/>
      <c r="M178" s="53"/>
      <c r="N178" s="53"/>
    </row>
    <row r="179" spans="1:14" s="68" customFormat="1" ht="15" customHeight="1">
      <c r="A179" s="1"/>
      <c r="B179" s="52"/>
      <c r="C179" s="52"/>
      <c r="D179" s="52"/>
      <c r="E179" s="53"/>
      <c r="F179" s="53"/>
      <c r="G179" s="52"/>
      <c r="H179" s="52"/>
      <c r="I179" s="52"/>
      <c r="J179" s="52"/>
      <c r="K179" s="52"/>
      <c r="L179" s="52"/>
      <c r="M179" s="99"/>
      <c r="N179" s="99"/>
    </row>
    <row r="180" spans="1:14" s="68" customFormat="1" ht="15" customHeight="1">
      <c r="A180" s="1"/>
      <c r="B180" s="52"/>
      <c r="C180" s="52"/>
      <c r="D180" s="52"/>
      <c r="E180" s="53"/>
      <c r="F180" s="53"/>
      <c r="G180" s="52"/>
      <c r="H180" s="52"/>
      <c r="I180" s="52"/>
      <c r="J180" s="52"/>
      <c r="K180" s="52"/>
      <c r="L180" s="52"/>
      <c r="M180" s="99"/>
      <c r="N180" s="99"/>
    </row>
    <row r="181" spans="1:14" s="68" customFormat="1" ht="12.75">
      <c r="A181" s="1"/>
      <c r="B181" s="2"/>
      <c r="C181" s="2"/>
      <c r="D181" s="2"/>
      <c r="E181" s="3"/>
      <c r="F181" s="3"/>
      <c r="G181" s="2"/>
      <c r="H181" s="2"/>
      <c r="I181" s="2"/>
      <c r="J181" s="2"/>
      <c r="K181" s="2"/>
      <c r="L181" s="2"/>
      <c r="M181" s="2"/>
      <c r="N181" s="2"/>
    </row>
    <row r="182" spans="1:14" s="68" customFormat="1" ht="12.75">
      <c r="A182" s="1"/>
      <c r="B182" s="2"/>
      <c r="C182" s="2"/>
      <c r="D182" s="2"/>
      <c r="E182" s="3"/>
      <c r="F182" s="3"/>
      <c r="G182" s="2"/>
      <c r="H182" s="2"/>
      <c r="I182" s="2"/>
      <c r="J182" s="2"/>
      <c r="K182" s="2"/>
      <c r="L182" s="2"/>
      <c r="M182" s="2"/>
      <c r="N182" s="2"/>
    </row>
    <row r="183" spans="1:14" s="68" customFormat="1" ht="12.75">
      <c r="A183" s="1"/>
      <c r="B183" s="2"/>
      <c r="C183" s="2"/>
      <c r="D183" s="2"/>
      <c r="E183" s="3"/>
      <c r="F183" s="3"/>
      <c r="G183" s="2"/>
      <c r="H183" s="2"/>
      <c r="I183" s="2"/>
      <c r="J183" s="2"/>
      <c r="K183" s="2"/>
      <c r="L183" s="2"/>
      <c r="M183" s="2"/>
      <c r="N183" s="2"/>
    </row>
    <row r="184" spans="1:14" s="68" customFormat="1" ht="12.75">
      <c r="A184" s="1"/>
      <c r="B184" s="2"/>
      <c r="C184" s="2"/>
      <c r="D184" s="2"/>
      <c r="E184" s="3"/>
      <c r="F184" s="3"/>
      <c r="G184" s="2"/>
      <c r="H184" s="2"/>
      <c r="I184" s="2"/>
      <c r="J184" s="2"/>
      <c r="K184" s="2"/>
      <c r="L184" s="2"/>
      <c r="M184" s="2"/>
      <c r="N184" s="2"/>
    </row>
    <row r="185" spans="1:14" s="68" customFormat="1" ht="12.75">
      <c r="A185" s="1"/>
      <c r="B185" s="2"/>
      <c r="C185" s="2"/>
      <c r="D185" s="2"/>
      <c r="E185" s="3"/>
      <c r="F185" s="3"/>
      <c r="G185" s="2"/>
      <c r="H185" s="2"/>
      <c r="I185" s="2"/>
      <c r="J185" s="2"/>
      <c r="K185" s="2"/>
      <c r="L185" s="2"/>
      <c r="M185" s="2"/>
      <c r="N185" s="2"/>
    </row>
    <row r="186" spans="1:14" s="68" customFormat="1" ht="12.75">
      <c r="A186" s="1"/>
      <c r="B186" s="2"/>
      <c r="C186" s="2"/>
      <c r="D186" s="2"/>
      <c r="E186" s="3"/>
      <c r="F186" s="3"/>
      <c r="G186" s="2"/>
      <c r="H186" s="2"/>
      <c r="I186" s="2"/>
      <c r="J186" s="2"/>
      <c r="K186" s="2"/>
      <c r="L186" s="2"/>
      <c r="M186" s="2"/>
      <c r="N186" s="2"/>
    </row>
    <row r="187" spans="1:14" s="68" customFormat="1" ht="12.75">
      <c r="A187" s="1"/>
      <c r="B187" s="2"/>
      <c r="C187" s="2"/>
      <c r="D187" s="2"/>
      <c r="E187" s="3"/>
      <c r="F187" s="3"/>
      <c r="G187" s="2"/>
      <c r="H187" s="2"/>
      <c r="I187" s="2"/>
      <c r="J187" s="2"/>
      <c r="K187" s="2"/>
      <c r="L187" s="2"/>
      <c r="M187" s="2"/>
      <c r="N187" s="2"/>
    </row>
    <row r="188" spans="1:14" s="68" customFormat="1" ht="12.75">
      <c r="A188" s="1"/>
      <c r="B188" s="2"/>
      <c r="C188" s="2"/>
      <c r="D188" s="2"/>
      <c r="E188" s="3"/>
      <c r="F188" s="3"/>
      <c r="G188" s="2"/>
      <c r="H188" s="2"/>
      <c r="I188" s="2"/>
      <c r="J188" s="2"/>
      <c r="K188" s="2"/>
      <c r="L188" s="2"/>
      <c r="M188" s="2"/>
      <c r="N188" s="2"/>
    </row>
    <row r="189" spans="1:14" s="68" customFormat="1" ht="12.75">
      <c r="A189" s="1"/>
      <c r="B189" s="2"/>
      <c r="C189" s="2"/>
      <c r="D189" s="2"/>
      <c r="E189" s="3"/>
      <c r="F189" s="3"/>
      <c r="G189" s="2"/>
      <c r="H189" s="2"/>
      <c r="I189" s="2"/>
      <c r="J189" s="2"/>
      <c r="K189" s="2"/>
      <c r="L189" s="2"/>
      <c r="M189" s="2"/>
      <c r="N189" s="2"/>
    </row>
    <row r="190" spans="1:14" s="68" customFormat="1" ht="12.75">
      <c r="A190" s="1"/>
      <c r="B190" s="2"/>
      <c r="C190" s="2"/>
      <c r="D190" s="2"/>
      <c r="E190" s="3"/>
      <c r="F190" s="3"/>
      <c r="G190" s="2"/>
      <c r="H190" s="2"/>
      <c r="I190" s="2"/>
      <c r="J190" s="2"/>
      <c r="K190" s="2"/>
      <c r="L190" s="2"/>
      <c r="M190" s="2"/>
      <c r="N190" s="2"/>
    </row>
    <row r="191" spans="1:14" s="68" customFormat="1" ht="12.75">
      <c r="A191" s="1"/>
      <c r="B191" s="2"/>
      <c r="C191" s="2"/>
      <c r="D191" s="2"/>
      <c r="E191" s="3"/>
      <c r="F191" s="3"/>
      <c r="G191" s="2"/>
      <c r="H191" s="2"/>
      <c r="I191" s="2"/>
      <c r="J191" s="2"/>
      <c r="K191" s="2"/>
      <c r="L191" s="2"/>
      <c r="M191" s="2"/>
      <c r="N191" s="2"/>
    </row>
    <row r="192" spans="1:14" s="68" customFormat="1" ht="12.75">
      <c r="A192" s="1"/>
      <c r="B192" s="2"/>
      <c r="C192" s="2"/>
      <c r="D192" s="2"/>
      <c r="E192" s="3"/>
      <c r="F192" s="3"/>
      <c r="G192" s="2"/>
      <c r="H192" s="2"/>
      <c r="I192" s="2"/>
      <c r="J192" s="2"/>
      <c r="K192" s="2"/>
      <c r="L192" s="2"/>
      <c r="M192" s="2"/>
      <c r="N192" s="2"/>
    </row>
    <row r="193" spans="1:14" s="68" customFormat="1" ht="12.75">
      <c r="A193" s="1"/>
      <c r="B193" s="2"/>
      <c r="C193" s="2"/>
      <c r="D193" s="2"/>
      <c r="E193" s="3"/>
      <c r="F193" s="3"/>
      <c r="G193" s="2"/>
      <c r="H193" s="2"/>
      <c r="I193" s="2"/>
      <c r="J193" s="2"/>
      <c r="K193" s="2"/>
      <c r="L193" s="2"/>
      <c r="M193" s="2"/>
      <c r="N193" s="2"/>
    </row>
    <row r="194" spans="1:14" s="68" customFormat="1" ht="12.75">
      <c r="A194" s="1"/>
      <c r="B194" s="2"/>
      <c r="C194" s="2"/>
      <c r="D194" s="2"/>
      <c r="E194" s="3"/>
      <c r="F194" s="3"/>
      <c r="G194" s="2"/>
      <c r="H194" s="2"/>
      <c r="I194" s="2"/>
      <c r="J194" s="2"/>
      <c r="K194" s="2"/>
      <c r="L194" s="2"/>
      <c r="M194" s="2"/>
      <c r="N194" s="2"/>
    </row>
    <row r="195" spans="1:14" s="68" customFormat="1" ht="12.75">
      <c r="A195" s="1"/>
      <c r="B195" s="2"/>
      <c r="C195" s="2"/>
      <c r="D195" s="2"/>
      <c r="E195" s="3"/>
      <c r="F195" s="3"/>
      <c r="G195" s="2"/>
      <c r="H195" s="2"/>
      <c r="I195" s="2"/>
      <c r="J195" s="2"/>
      <c r="K195" s="2"/>
      <c r="L195" s="2"/>
      <c r="M195" s="2"/>
      <c r="N195" s="2"/>
    </row>
    <row r="196" spans="1:14" s="68" customFormat="1" ht="12.75">
      <c r="A196" s="1"/>
      <c r="B196" s="2"/>
      <c r="C196" s="2"/>
      <c r="D196" s="2"/>
      <c r="E196" s="3"/>
      <c r="F196" s="3"/>
      <c r="G196" s="2"/>
      <c r="H196" s="2"/>
      <c r="I196" s="2"/>
      <c r="J196" s="2"/>
      <c r="K196" s="2"/>
      <c r="L196" s="2"/>
      <c r="M196" s="2"/>
      <c r="N196" s="2"/>
    </row>
    <row r="197" spans="1:14" s="68" customFormat="1" ht="12.75">
      <c r="A197" s="1"/>
      <c r="B197" s="2"/>
      <c r="C197" s="2"/>
      <c r="D197" s="2"/>
      <c r="E197" s="3"/>
      <c r="F197" s="3"/>
      <c r="G197" s="2"/>
      <c r="H197" s="2"/>
      <c r="I197" s="2"/>
      <c r="J197" s="2"/>
      <c r="K197" s="2"/>
      <c r="L197" s="2"/>
      <c r="M197" s="2"/>
      <c r="N197" s="2"/>
    </row>
    <row r="198" spans="1:14" s="68" customFormat="1" ht="12.75">
      <c r="A198" s="1"/>
      <c r="B198" s="2"/>
      <c r="C198" s="2"/>
      <c r="D198" s="2"/>
      <c r="E198" s="3"/>
      <c r="F198" s="3"/>
      <c r="G198" s="2"/>
      <c r="H198" s="2"/>
      <c r="I198" s="2"/>
      <c r="J198" s="2"/>
      <c r="K198" s="2"/>
      <c r="L198" s="2"/>
      <c r="M198" s="2"/>
      <c r="N198" s="2"/>
    </row>
    <row r="199" spans="1:14" s="68" customFormat="1" ht="12.75">
      <c r="A199" s="1"/>
      <c r="B199" s="2"/>
      <c r="C199" s="2"/>
      <c r="D199" s="2"/>
      <c r="E199" s="3"/>
      <c r="F199" s="3"/>
      <c r="G199" s="2"/>
      <c r="H199" s="2"/>
      <c r="I199" s="2"/>
      <c r="J199" s="2"/>
      <c r="K199" s="2"/>
      <c r="L199" s="2"/>
      <c r="M199" s="2"/>
      <c r="N199" s="2"/>
    </row>
    <row r="200" spans="1:14" s="68" customFormat="1" ht="12.75">
      <c r="A200" s="1"/>
      <c r="B200" s="2"/>
      <c r="C200" s="2"/>
      <c r="D200" s="2"/>
      <c r="E200" s="3"/>
      <c r="F200" s="3"/>
      <c r="G200" s="2"/>
      <c r="H200" s="2"/>
      <c r="I200" s="2"/>
      <c r="J200" s="2"/>
      <c r="K200" s="2"/>
      <c r="L200" s="2"/>
      <c r="M200" s="2"/>
      <c r="N200" s="2"/>
    </row>
    <row r="201" spans="1:14" s="68" customFormat="1" ht="12.75">
      <c r="A201" s="1"/>
      <c r="B201" s="2"/>
      <c r="C201" s="2"/>
      <c r="D201" s="2"/>
      <c r="E201" s="3"/>
      <c r="F201" s="3"/>
      <c r="G201" s="2"/>
      <c r="H201" s="2"/>
      <c r="I201" s="2"/>
      <c r="J201" s="2"/>
      <c r="K201" s="2"/>
      <c r="L201" s="2"/>
      <c r="M201" s="2"/>
      <c r="N201" s="2"/>
    </row>
    <row r="202" spans="1:14" s="68" customFormat="1" ht="12.75">
      <c r="A202" s="1"/>
      <c r="B202" s="2"/>
      <c r="C202" s="2"/>
      <c r="D202" s="2"/>
      <c r="E202" s="3"/>
      <c r="F202" s="3"/>
      <c r="G202" s="2"/>
      <c r="H202" s="2"/>
      <c r="I202" s="2"/>
      <c r="J202" s="2"/>
      <c r="K202" s="2"/>
      <c r="L202" s="2"/>
      <c r="M202" s="2"/>
      <c r="N202" s="2"/>
    </row>
    <row r="203" spans="1:14" s="68" customFormat="1" ht="12.75">
      <c r="A203" s="1"/>
      <c r="B203" s="2"/>
      <c r="C203" s="2"/>
      <c r="D203" s="2"/>
      <c r="E203" s="3"/>
      <c r="F203" s="3"/>
      <c r="G203" s="2"/>
      <c r="H203" s="2"/>
      <c r="I203" s="2"/>
      <c r="J203" s="2"/>
      <c r="K203" s="2"/>
      <c r="L203" s="2"/>
      <c r="M203" s="2"/>
      <c r="N203" s="2"/>
    </row>
    <row r="204" spans="1:14" s="68" customFormat="1" ht="12.75">
      <c r="A204" s="1"/>
      <c r="B204" s="2"/>
      <c r="C204" s="2"/>
      <c r="D204" s="2"/>
      <c r="E204" s="3"/>
      <c r="F204" s="3"/>
      <c r="G204" s="2"/>
      <c r="H204" s="2"/>
      <c r="I204" s="2"/>
      <c r="J204" s="2"/>
      <c r="K204" s="2"/>
      <c r="L204" s="2"/>
      <c r="M204" s="2"/>
      <c r="N204" s="2"/>
    </row>
    <row r="205" spans="1:14" s="68" customFormat="1" ht="12.75">
      <c r="A205" s="1"/>
      <c r="B205" s="2"/>
      <c r="C205" s="2"/>
      <c r="D205" s="2"/>
      <c r="E205" s="3"/>
      <c r="F205" s="3"/>
      <c r="G205" s="2"/>
      <c r="H205" s="2"/>
      <c r="I205" s="2"/>
      <c r="J205" s="2"/>
      <c r="K205" s="2"/>
      <c r="L205" s="2"/>
      <c r="M205" s="2"/>
      <c r="N205" s="2"/>
    </row>
    <row r="206" spans="1:14" s="68" customFormat="1" ht="12.75">
      <c r="A206" s="1"/>
      <c r="B206" s="2"/>
      <c r="C206" s="2"/>
      <c r="D206" s="2"/>
      <c r="E206" s="3"/>
      <c r="F206" s="3"/>
      <c r="G206" s="2"/>
      <c r="H206" s="2"/>
      <c r="I206" s="2"/>
      <c r="J206" s="2"/>
      <c r="K206" s="2"/>
      <c r="L206" s="2"/>
      <c r="M206" s="2"/>
      <c r="N206" s="2"/>
    </row>
    <row r="207" spans="1:14" s="68" customFormat="1" ht="12.75">
      <c r="A207" s="1"/>
      <c r="B207" s="2"/>
      <c r="C207" s="2"/>
      <c r="D207" s="2"/>
      <c r="E207" s="3"/>
      <c r="F207" s="3"/>
      <c r="G207" s="2"/>
      <c r="H207" s="2"/>
      <c r="I207" s="2"/>
      <c r="J207" s="2"/>
      <c r="K207" s="2"/>
      <c r="L207" s="2"/>
      <c r="M207" s="2"/>
      <c r="N207" s="2"/>
    </row>
    <row r="208" spans="1:14" s="68" customFormat="1" ht="12.75">
      <c r="A208" s="1"/>
      <c r="B208" s="2"/>
      <c r="C208" s="2"/>
      <c r="D208" s="2"/>
      <c r="E208" s="3"/>
      <c r="F208" s="3"/>
      <c r="G208" s="2"/>
      <c r="H208" s="2"/>
      <c r="I208" s="2"/>
      <c r="J208" s="2"/>
      <c r="K208" s="2"/>
      <c r="L208" s="2"/>
      <c r="M208" s="2"/>
      <c r="N208" s="2"/>
    </row>
    <row r="209" spans="1:14" s="68" customFormat="1" ht="12.75">
      <c r="A209" s="1"/>
      <c r="B209" s="2"/>
      <c r="C209" s="2"/>
      <c r="D209" s="2"/>
      <c r="E209" s="3"/>
      <c r="F209" s="3"/>
      <c r="G209" s="2"/>
      <c r="H209" s="2"/>
      <c r="I209" s="2"/>
      <c r="J209" s="2"/>
      <c r="K209" s="2"/>
      <c r="L209" s="2"/>
      <c r="M209" s="2"/>
      <c r="N209" s="2"/>
    </row>
    <row r="210" spans="1:14" s="68" customFormat="1" ht="12.75">
      <c r="A210" s="1"/>
      <c r="B210" s="2"/>
      <c r="C210" s="2"/>
      <c r="D210" s="2"/>
      <c r="E210" s="3"/>
      <c r="F210" s="3"/>
      <c r="G210" s="2"/>
      <c r="H210" s="2"/>
      <c r="I210" s="2"/>
      <c r="J210" s="2"/>
      <c r="K210" s="2"/>
      <c r="L210" s="2"/>
      <c r="M210" s="2"/>
      <c r="N210" s="2"/>
    </row>
    <row r="211" spans="1:14" s="68" customFormat="1" ht="12.75">
      <c r="A211" s="1"/>
      <c r="B211" s="2"/>
      <c r="C211" s="2"/>
      <c r="D211" s="2"/>
      <c r="E211" s="3"/>
      <c r="F211" s="3"/>
      <c r="G211" s="2"/>
      <c r="H211" s="2"/>
      <c r="I211" s="2"/>
      <c r="J211" s="2"/>
      <c r="K211" s="2"/>
      <c r="L211" s="2"/>
      <c r="M211" s="2"/>
      <c r="N211" s="2"/>
    </row>
    <row r="212" spans="1:14" s="68" customFormat="1" ht="12.75">
      <c r="A212" s="1"/>
      <c r="B212" s="2"/>
      <c r="C212" s="2"/>
      <c r="D212" s="2"/>
      <c r="E212" s="3"/>
      <c r="F212" s="3"/>
      <c r="G212" s="2"/>
      <c r="H212" s="2"/>
      <c r="I212" s="2"/>
      <c r="J212" s="2"/>
      <c r="K212" s="2"/>
      <c r="L212" s="2"/>
      <c r="M212" s="2"/>
      <c r="N212" s="2"/>
    </row>
    <row r="213" spans="1:14" s="68" customFormat="1" ht="12.75">
      <c r="A213" s="1"/>
      <c r="B213" s="2"/>
      <c r="C213" s="2"/>
      <c r="D213" s="2"/>
      <c r="E213" s="3"/>
      <c r="F213" s="3"/>
      <c r="G213" s="2"/>
      <c r="H213" s="2"/>
      <c r="I213" s="2"/>
      <c r="J213" s="2"/>
      <c r="K213" s="2"/>
      <c r="L213" s="2"/>
      <c r="M213" s="2"/>
      <c r="N213" s="2"/>
    </row>
    <row r="214" spans="1:14" s="68" customFormat="1" ht="12.75">
      <c r="A214" s="1"/>
      <c r="B214" s="2"/>
      <c r="C214" s="2"/>
      <c r="D214" s="2"/>
      <c r="E214" s="3"/>
      <c r="F214" s="3"/>
      <c r="G214" s="2"/>
      <c r="H214" s="2"/>
      <c r="I214" s="2"/>
      <c r="J214" s="2"/>
      <c r="K214" s="2"/>
      <c r="L214" s="2"/>
      <c r="M214" s="2"/>
      <c r="N214" s="2"/>
    </row>
    <row r="215" spans="1:14" s="68" customFormat="1" ht="12.75">
      <c r="A215" s="1"/>
      <c r="B215" s="2"/>
      <c r="C215" s="2"/>
      <c r="D215" s="2"/>
      <c r="E215" s="3"/>
      <c r="F215" s="3"/>
      <c r="G215" s="2"/>
      <c r="H215" s="2"/>
      <c r="I215" s="2"/>
      <c r="J215" s="2"/>
      <c r="K215" s="2"/>
      <c r="L215" s="2"/>
      <c r="M215" s="2"/>
      <c r="N215" s="2"/>
    </row>
    <row r="216" spans="1:14" s="68" customFormat="1" ht="12.75">
      <c r="A216" s="1"/>
      <c r="B216" s="2"/>
      <c r="C216" s="2"/>
      <c r="D216" s="2"/>
      <c r="E216" s="3"/>
      <c r="F216" s="3"/>
      <c r="G216" s="2"/>
      <c r="H216" s="2"/>
      <c r="I216" s="2"/>
      <c r="J216" s="2"/>
      <c r="K216" s="2"/>
      <c r="L216" s="2"/>
      <c r="M216" s="2"/>
      <c r="N216" s="2"/>
    </row>
    <row r="217" spans="1:14" s="68" customFormat="1" ht="12.75">
      <c r="A217" s="1"/>
      <c r="B217" s="2"/>
      <c r="C217" s="2"/>
      <c r="D217" s="2"/>
      <c r="E217" s="3"/>
      <c r="F217" s="3"/>
      <c r="G217" s="2"/>
      <c r="H217" s="2"/>
      <c r="I217" s="2"/>
      <c r="J217" s="2"/>
      <c r="K217" s="2"/>
      <c r="L217" s="2"/>
      <c r="M217" s="2"/>
      <c r="N217" s="2"/>
    </row>
    <row r="218" spans="1:14" s="68" customFormat="1" ht="12.75">
      <c r="A218" s="1"/>
      <c r="B218" s="2"/>
      <c r="C218" s="2"/>
      <c r="D218" s="2"/>
      <c r="E218" s="3"/>
      <c r="F218" s="3"/>
      <c r="G218" s="2"/>
      <c r="H218" s="2"/>
      <c r="I218" s="2"/>
      <c r="J218" s="2"/>
      <c r="K218" s="2"/>
      <c r="L218" s="2"/>
      <c r="M218" s="2"/>
      <c r="N218" s="2"/>
    </row>
    <row r="219" spans="1:14" s="68" customFormat="1" ht="12.75">
      <c r="A219" s="1"/>
      <c r="B219" s="2"/>
      <c r="C219" s="2"/>
      <c r="D219" s="2"/>
      <c r="E219" s="3"/>
      <c r="F219" s="3"/>
      <c r="G219" s="2"/>
      <c r="H219" s="2"/>
      <c r="I219" s="2"/>
      <c r="J219" s="2"/>
      <c r="K219" s="2"/>
      <c r="L219" s="2"/>
      <c r="M219" s="2"/>
      <c r="N219" s="2"/>
    </row>
    <row r="220" spans="1:14" s="68" customFormat="1" ht="12.75">
      <c r="A220" s="1"/>
      <c r="B220" s="2"/>
      <c r="C220" s="2"/>
      <c r="D220" s="2"/>
      <c r="E220" s="3"/>
      <c r="F220" s="3"/>
      <c r="G220" s="2"/>
      <c r="H220" s="2"/>
      <c r="I220" s="2"/>
      <c r="J220" s="2"/>
      <c r="K220" s="2"/>
      <c r="L220" s="2"/>
      <c r="M220" s="2"/>
      <c r="N220" s="2"/>
    </row>
    <row r="221" spans="1:14" s="68" customFormat="1" ht="12.75">
      <c r="A221" s="1"/>
      <c r="B221" s="2"/>
      <c r="C221" s="2"/>
      <c r="D221" s="2"/>
      <c r="E221" s="3"/>
      <c r="F221" s="3"/>
      <c r="G221" s="2"/>
      <c r="H221" s="2"/>
      <c r="I221" s="2"/>
      <c r="J221" s="2"/>
      <c r="K221" s="2"/>
      <c r="L221" s="2"/>
      <c r="M221" s="2"/>
      <c r="N221" s="2"/>
    </row>
    <row r="222" spans="1:14" s="68" customFormat="1" ht="12.75">
      <c r="A222" s="1"/>
      <c r="B222" s="2"/>
      <c r="C222" s="2"/>
      <c r="D222" s="2"/>
      <c r="E222" s="3"/>
      <c r="F222" s="3"/>
      <c r="G222" s="2"/>
      <c r="H222" s="2"/>
      <c r="I222" s="2"/>
      <c r="J222" s="2"/>
      <c r="K222" s="2"/>
      <c r="L222" s="2"/>
      <c r="M222" s="2"/>
      <c r="N222" s="2"/>
    </row>
    <row r="223" spans="1:14" s="68" customFormat="1" ht="12.75">
      <c r="A223" s="1"/>
      <c r="B223" s="2"/>
      <c r="C223" s="2"/>
      <c r="D223" s="2"/>
      <c r="E223" s="3"/>
      <c r="F223" s="3"/>
      <c r="G223" s="2"/>
      <c r="H223" s="2"/>
      <c r="I223" s="2"/>
      <c r="J223" s="2"/>
      <c r="K223" s="2"/>
      <c r="L223" s="2"/>
      <c r="M223" s="2"/>
      <c r="N223" s="2"/>
    </row>
    <row r="224" spans="1:14" s="68" customFormat="1" ht="12.75">
      <c r="A224" s="1"/>
      <c r="B224" s="2"/>
      <c r="C224" s="2"/>
      <c r="D224" s="2"/>
      <c r="E224" s="3"/>
      <c r="F224" s="3"/>
      <c r="G224" s="2"/>
      <c r="H224" s="2"/>
      <c r="I224" s="2"/>
      <c r="J224" s="2"/>
      <c r="K224" s="2"/>
      <c r="L224" s="2"/>
      <c r="M224" s="2"/>
      <c r="N224" s="2"/>
    </row>
    <row r="225" spans="1:14" s="68" customFormat="1" ht="12.75">
      <c r="A225" s="1"/>
      <c r="B225" s="2"/>
      <c r="C225" s="2"/>
      <c r="D225" s="2"/>
      <c r="E225" s="3"/>
      <c r="F225" s="3"/>
      <c r="G225" s="2"/>
      <c r="H225" s="2"/>
      <c r="I225" s="2"/>
      <c r="J225" s="2"/>
      <c r="K225" s="2"/>
      <c r="L225" s="2"/>
      <c r="M225" s="2"/>
      <c r="N225" s="2"/>
    </row>
    <row r="226" spans="1:14" s="68" customFormat="1" ht="12.75">
      <c r="A226" s="1"/>
      <c r="B226" s="2"/>
      <c r="C226" s="2"/>
      <c r="D226" s="2"/>
      <c r="E226" s="3"/>
      <c r="F226" s="3"/>
      <c r="G226" s="2"/>
      <c r="H226" s="2"/>
      <c r="I226" s="2"/>
      <c r="J226" s="2"/>
      <c r="K226" s="2"/>
      <c r="L226" s="2"/>
      <c r="M226" s="2"/>
      <c r="N226" s="2"/>
    </row>
    <row r="227" spans="1:14" s="68" customFormat="1" ht="12.75">
      <c r="A227" s="1"/>
      <c r="B227" s="2"/>
      <c r="C227" s="2"/>
      <c r="D227" s="2"/>
      <c r="E227" s="3"/>
      <c r="F227" s="3"/>
      <c r="G227" s="2"/>
      <c r="H227" s="2"/>
      <c r="I227" s="2"/>
      <c r="J227" s="2"/>
      <c r="K227" s="2"/>
      <c r="L227" s="2"/>
      <c r="M227" s="2"/>
      <c r="N227" s="2"/>
    </row>
    <row r="228" spans="1:14" s="68" customFormat="1" ht="12.75">
      <c r="A228" s="1"/>
      <c r="B228" s="2"/>
      <c r="C228" s="2"/>
      <c r="D228" s="2"/>
      <c r="E228" s="3"/>
      <c r="F228" s="3"/>
      <c r="G228" s="2"/>
      <c r="H228" s="2"/>
      <c r="I228" s="2"/>
      <c r="J228" s="2"/>
      <c r="K228" s="2"/>
      <c r="L228" s="2"/>
      <c r="M228" s="2"/>
      <c r="N228" s="2"/>
    </row>
    <row r="229" spans="1:14" s="68" customFormat="1" ht="12.75">
      <c r="A229" s="1"/>
      <c r="B229" s="2"/>
      <c r="C229" s="2"/>
      <c r="D229" s="2"/>
      <c r="E229" s="3"/>
      <c r="F229" s="3"/>
      <c r="G229" s="2"/>
      <c r="H229" s="2"/>
      <c r="I229" s="2"/>
      <c r="J229" s="2"/>
      <c r="K229" s="2"/>
      <c r="L229" s="2"/>
      <c r="M229" s="2"/>
      <c r="N229" s="2"/>
    </row>
    <row r="230" spans="1:14" s="68" customFormat="1" ht="12.75">
      <c r="A230" s="1"/>
      <c r="B230" s="2"/>
      <c r="C230" s="2"/>
      <c r="D230" s="2"/>
      <c r="E230" s="3"/>
      <c r="F230" s="3"/>
      <c r="G230" s="2"/>
      <c r="H230" s="2"/>
      <c r="I230" s="2"/>
      <c r="J230" s="2"/>
      <c r="K230" s="2"/>
      <c r="L230" s="2"/>
      <c r="M230" s="2"/>
      <c r="N230" s="2"/>
    </row>
    <row r="231" spans="1:14" s="68" customFormat="1" ht="12.75">
      <c r="A231" s="1"/>
      <c r="B231" s="2"/>
      <c r="C231" s="2"/>
      <c r="D231" s="2"/>
      <c r="E231" s="3"/>
      <c r="F231" s="3"/>
      <c r="G231" s="2"/>
      <c r="H231" s="2"/>
      <c r="I231" s="2"/>
      <c r="J231" s="2"/>
      <c r="K231" s="2"/>
      <c r="L231" s="2"/>
      <c r="M231" s="2"/>
      <c r="N231" s="2"/>
    </row>
    <row r="232" spans="1:14" s="68" customFormat="1" ht="12.75">
      <c r="A232" s="1"/>
      <c r="B232" s="2"/>
      <c r="C232" s="2"/>
      <c r="D232" s="2"/>
      <c r="E232" s="3"/>
      <c r="F232" s="3"/>
      <c r="G232" s="2"/>
      <c r="H232" s="2"/>
      <c r="I232" s="2"/>
      <c r="J232" s="2"/>
      <c r="K232" s="2"/>
      <c r="L232" s="2"/>
      <c r="M232" s="2"/>
      <c r="N232" s="2"/>
    </row>
    <row r="233" spans="1:14" s="68" customFormat="1" ht="12.75">
      <c r="A233" s="1"/>
      <c r="B233" s="2"/>
      <c r="C233" s="2"/>
      <c r="D233" s="2"/>
      <c r="E233" s="3"/>
      <c r="F233" s="3"/>
      <c r="G233" s="2"/>
      <c r="H233" s="2"/>
      <c r="I233" s="2"/>
      <c r="J233" s="2"/>
      <c r="K233" s="2"/>
      <c r="L233" s="2"/>
      <c r="M233" s="2"/>
      <c r="N233" s="2"/>
    </row>
    <row r="234" spans="1:14" s="68" customFormat="1" ht="12.75">
      <c r="A234" s="1"/>
      <c r="B234" s="2"/>
      <c r="C234" s="2"/>
      <c r="D234" s="2"/>
      <c r="E234" s="3"/>
      <c r="F234" s="3"/>
      <c r="G234" s="2"/>
      <c r="H234" s="2"/>
      <c r="I234" s="2"/>
      <c r="J234" s="2"/>
      <c r="K234" s="2"/>
      <c r="L234" s="2"/>
      <c r="M234" s="2"/>
      <c r="N234" s="2"/>
    </row>
    <row r="235" spans="1:14" s="68" customFormat="1" ht="12.75">
      <c r="A235" s="1"/>
      <c r="B235" s="2"/>
      <c r="C235" s="2"/>
      <c r="D235" s="2"/>
      <c r="E235" s="3"/>
      <c r="F235" s="3"/>
      <c r="G235" s="2"/>
      <c r="H235" s="2"/>
      <c r="I235" s="2"/>
      <c r="J235" s="2"/>
      <c r="K235" s="2"/>
      <c r="L235" s="2"/>
      <c r="M235" s="2"/>
      <c r="N235" s="2"/>
    </row>
    <row r="236" spans="1:14" s="68" customFormat="1" ht="12.75">
      <c r="A236" s="1"/>
      <c r="B236" s="2"/>
      <c r="C236" s="2"/>
      <c r="D236" s="2"/>
      <c r="E236" s="3"/>
      <c r="F236" s="3"/>
      <c r="G236" s="2"/>
      <c r="H236" s="2"/>
      <c r="I236" s="2"/>
      <c r="J236" s="2"/>
      <c r="K236" s="2"/>
      <c r="L236" s="2"/>
      <c r="M236" s="2"/>
      <c r="N236" s="2"/>
    </row>
    <row r="237" spans="1:14" s="68" customFormat="1" ht="12.75">
      <c r="A237" s="1"/>
      <c r="B237" s="2"/>
      <c r="C237" s="2"/>
      <c r="D237" s="2"/>
      <c r="E237" s="3"/>
      <c r="F237" s="3"/>
      <c r="G237" s="2"/>
      <c r="H237" s="2"/>
      <c r="I237" s="2"/>
      <c r="J237" s="2"/>
      <c r="K237" s="2"/>
      <c r="L237" s="2"/>
      <c r="M237" s="2"/>
      <c r="N237" s="2"/>
    </row>
    <row r="238" spans="1:14" s="68" customFormat="1" ht="12.75">
      <c r="A238" s="1"/>
      <c r="B238" s="2"/>
      <c r="C238" s="2"/>
      <c r="D238" s="2"/>
      <c r="E238" s="3"/>
      <c r="F238" s="3"/>
      <c r="G238" s="2"/>
      <c r="H238" s="2"/>
      <c r="I238" s="2"/>
      <c r="J238" s="2"/>
      <c r="K238" s="2"/>
      <c r="L238" s="2"/>
      <c r="M238" s="2"/>
      <c r="N238" s="2"/>
    </row>
    <row r="239" spans="1:14" s="68" customFormat="1" ht="12.75">
      <c r="A239" s="1"/>
      <c r="B239" s="2"/>
      <c r="C239" s="2"/>
      <c r="D239" s="2"/>
      <c r="E239" s="3"/>
      <c r="F239" s="3"/>
      <c r="G239" s="2"/>
      <c r="H239" s="2"/>
      <c r="I239" s="2"/>
      <c r="J239" s="2"/>
      <c r="K239" s="2"/>
      <c r="L239" s="2"/>
      <c r="M239" s="2"/>
      <c r="N239" s="2"/>
    </row>
    <row r="240" spans="1:14" s="68" customFormat="1" ht="12.75">
      <c r="A240" s="1"/>
      <c r="B240" s="2"/>
      <c r="C240" s="2"/>
      <c r="D240" s="2"/>
      <c r="E240" s="3"/>
      <c r="F240" s="3"/>
      <c r="G240" s="2"/>
      <c r="H240" s="2"/>
      <c r="I240" s="2"/>
      <c r="J240" s="2"/>
      <c r="K240" s="2"/>
      <c r="L240" s="2"/>
      <c r="M240" s="2"/>
      <c r="N240" s="2"/>
    </row>
    <row r="241" spans="1:14" s="68" customFormat="1" ht="12.75">
      <c r="A241" s="1"/>
      <c r="B241" s="2"/>
      <c r="C241" s="2"/>
      <c r="D241" s="2"/>
      <c r="E241" s="3"/>
      <c r="F241" s="3"/>
      <c r="G241" s="2"/>
      <c r="H241" s="2"/>
      <c r="I241" s="2"/>
      <c r="J241" s="2"/>
      <c r="K241" s="2"/>
      <c r="L241" s="2"/>
      <c r="M241" s="2"/>
      <c r="N241" s="2"/>
    </row>
    <row r="242" spans="1:14" s="68" customFormat="1" ht="12.75">
      <c r="A242" s="1"/>
      <c r="B242" s="2"/>
      <c r="C242" s="2"/>
      <c r="D242" s="2"/>
      <c r="E242" s="3"/>
      <c r="F242" s="3"/>
      <c r="G242" s="2"/>
      <c r="H242" s="2"/>
      <c r="I242" s="2"/>
      <c r="J242" s="2"/>
      <c r="K242" s="2"/>
      <c r="L242" s="2"/>
      <c r="M242" s="2"/>
      <c r="N242" s="2"/>
    </row>
    <row r="243" spans="1:14" s="68" customFormat="1" ht="12.75">
      <c r="A243" s="1"/>
      <c r="B243" s="2"/>
      <c r="C243" s="2"/>
      <c r="D243" s="2"/>
      <c r="E243" s="3"/>
      <c r="F243" s="3"/>
      <c r="G243" s="2"/>
      <c r="H243" s="2"/>
      <c r="I243" s="2"/>
      <c r="J243" s="2"/>
      <c r="K243" s="2"/>
      <c r="L243" s="2"/>
      <c r="M243" s="2"/>
      <c r="N243" s="2"/>
    </row>
    <row r="244" spans="1:14" s="68" customFormat="1" ht="12.75">
      <c r="A244" s="1"/>
      <c r="B244" s="2"/>
      <c r="C244" s="2"/>
      <c r="D244" s="2"/>
      <c r="E244" s="3"/>
      <c r="F244" s="3"/>
      <c r="G244" s="2"/>
      <c r="H244" s="2"/>
      <c r="I244" s="2"/>
      <c r="J244" s="2"/>
      <c r="K244" s="2"/>
      <c r="L244" s="2"/>
      <c r="M244" s="2"/>
      <c r="N244" s="2"/>
    </row>
    <row r="245" spans="1:14" s="68" customFormat="1" ht="12.75">
      <c r="A245" s="1"/>
      <c r="B245" s="2"/>
      <c r="C245" s="2"/>
      <c r="D245" s="2"/>
      <c r="E245" s="3"/>
      <c r="F245" s="3"/>
      <c r="G245" s="2"/>
      <c r="H245" s="2"/>
      <c r="I245" s="2"/>
      <c r="J245" s="2"/>
      <c r="K245" s="2"/>
      <c r="L245" s="2"/>
      <c r="M245" s="2"/>
      <c r="N245" s="2"/>
    </row>
    <row r="246" spans="1:14" s="68" customFormat="1" ht="12.75">
      <c r="A246" s="1"/>
      <c r="B246" s="2"/>
      <c r="C246" s="2"/>
      <c r="D246" s="2"/>
      <c r="E246" s="3"/>
      <c r="F246" s="3"/>
      <c r="G246" s="2"/>
      <c r="H246" s="2"/>
      <c r="I246" s="2"/>
      <c r="J246" s="2"/>
      <c r="K246" s="2"/>
      <c r="L246" s="2"/>
      <c r="M246" s="2"/>
      <c r="N246" s="2"/>
    </row>
    <row r="247" spans="1:14" s="68" customFormat="1" ht="12.75">
      <c r="A247" s="1"/>
      <c r="B247" s="2"/>
      <c r="C247" s="2"/>
      <c r="D247" s="2"/>
      <c r="E247" s="3"/>
      <c r="F247" s="3"/>
      <c r="G247" s="2"/>
      <c r="H247" s="2"/>
      <c r="I247" s="2"/>
      <c r="J247" s="2"/>
      <c r="K247" s="2"/>
      <c r="L247" s="2"/>
      <c r="M247" s="2"/>
      <c r="N247" s="2"/>
    </row>
    <row r="248" spans="1:14" s="68" customFormat="1" ht="12.75">
      <c r="A248" s="1"/>
      <c r="B248" s="2"/>
      <c r="C248" s="2"/>
      <c r="D248" s="2"/>
      <c r="E248" s="3"/>
      <c r="F248" s="3"/>
      <c r="G248" s="2"/>
      <c r="H248" s="2"/>
      <c r="I248" s="2"/>
      <c r="J248" s="2"/>
      <c r="K248" s="2"/>
      <c r="L248" s="2"/>
      <c r="M248" s="2"/>
      <c r="N248" s="2"/>
    </row>
    <row r="249" spans="1:14" s="68" customFormat="1" ht="12.75">
      <c r="A249" s="1"/>
      <c r="B249" s="2"/>
      <c r="C249" s="2"/>
      <c r="D249" s="2"/>
      <c r="E249" s="3"/>
      <c r="F249" s="3"/>
      <c r="G249" s="2"/>
      <c r="H249" s="2"/>
      <c r="I249" s="2"/>
      <c r="J249" s="2"/>
      <c r="K249" s="2"/>
      <c r="L249" s="2"/>
      <c r="M249" s="2"/>
      <c r="N249" s="2"/>
    </row>
    <row r="250" spans="1:14" s="68" customFormat="1" ht="12.75">
      <c r="A250" s="1"/>
      <c r="B250" s="2"/>
      <c r="C250" s="2"/>
      <c r="D250" s="2"/>
      <c r="E250" s="3"/>
      <c r="F250" s="3"/>
      <c r="G250" s="2"/>
      <c r="H250" s="2"/>
      <c r="I250" s="2"/>
      <c r="J250" s="2"/>
      <c r="K250" s="2"/>
      <c r="L250" s="2"/>
      <c r="M250" s="2"/>
      <c r="N250" s="2"/>
    </row>
    <row r="251" spans="1:14" s="68" customFormat="1" ht="12.75">
      <c r="A251" s="1"/>
      <c r="B251" s="2"/>
      <c r="C251" s="2"/>
      <c r="D251" s="2"/>
      <c r="E251" s="3"/>
      <c r="F251" s="3"/>
      <c r="G251" s="2"/>
      <c r="H251" s="2"/>
      <c r="I251" s="2"/>
      <c r="J251" s="2"/>
      <c r="K251" s="2"/>
      <c r="L251" s="2"/>
      <c r="M251" s="2"/>
      <c r="N251" s="2"/>
    </row>
    <row r="252" spans="1:14" s="68" customFormat="1" ht="12.75">
      <c r="A252" s="1"/>
      <c r="B252" s="2"/>
      <c r="C252" s="2"/>
      <c r="D252" s="2"/>
      <c r="E252" s="3"/>
      <c r="F252" s="3"/>
      <c r="G252" s="2"/>
      <c r="H252" s="2"/>
      <c r="I252" s="2"/>
      <c r="J252" s="2"/>
      <c r="K252" s="2"/>
      <c r="L252" s="2"/>
      <c r="M252" s="2"/>
      <c r="N252" s="2"/>
    </row>
    <row r="253" spans="1:14" s="68" customFormat="1" ht="12.75">
      <c r="A253" s="1"/>
      <c r="B253" s="2"/>
      <c r="C253" s="2"/>
      <c r="D253" s="2"/>
      <c r="E253" s="3"/>
      <c r="F253" s="3"/>
      <c r="G253" s="2"/>
      <c r="H253" s="2"/>
      <c r="I253" s="2"/>
      <c r="J253" s="2"/>
      <c r="K253" s="2"/>
      <c r="L253" s="2"/>
      <c r="M253" s="2"/>
      <c r="N253" s="2"/>
    </row>
    <row r="254" spans="1:14" s="68" customFormat="1" ht="12.75">
      <c r="A254" s="1"/>
      <c r="B254" s="2"/>
      <c r="C254" s="2"/>
      <c r="D254" s="2"/>
      <c r="E254" s="3"/>
      <c r="F254" s="3"/>
      <c r="G254" s="2"/>
      <c r="H254" s="2"/>
      <c r="I254" s="2"/>
      <c r="J254" s="2"/>
      <c r="K254" s="2"/>
      <c r="L254" s="2"/>
      <c r="M254" s="2"/>
      <c r="N254" s="2"/>
    </row>
    <row r="255" spans="1:14" s="68" customFormat="1" ht="12.75">
      <c r="A255" s="1"/>
      <c r="B255" s="2"/>
      <c r="C255" s="2"/>
      <c r="D255" s="2"/>
      <c r="E255" s="3"/>
      <c r="F255" s="3"/>
      <c r="G255" s="2"/>
      <c r="H255" s="2"/>
      <c r="I255" s="2"/>
      <c r="J255" s="2"/>
      <c r="K255" s="2"/>
      <c r="L255" s="2"/>
      <c r="M255" s="2"/>
      <c r="N255" s="2"/>
    </row>
    <row r="256" spans="1:14" s="68" customFormat="1" ht="12.75">
      <c r="A256" s="1"/>
      <c r="B256" s="2"/>
      <c r="C256" s="2"/>
      <c r="D256" s="2"/>
      <c r="E256" s="3"/>
      <c r="F256" s="3"/>
      <c r="G256" s="2"/>
      <c r="H256" s="2"/>
      <c r="I256" s="2"/>
      <c r="J256" s="2"/>
      <c r="K256" s="2"/>
      <c r="L256" s="2"/>
      <c r="M256" s="2"/>
      <c r="N256" s="2"/>
    </row>
    <row r="257" spans="1:14" s="68" customFormat="1" ht="12.75">
      <c r="A257" s="1"/>
      <c r="B257" s="2"/>
      <c r="C257" s="2"/>
      <c r="D257" s="2"/>
      <c r="E257" s="3"/>
      <c r="F257" s="3"/>
      <c r="G257" s="2"/>
      <c r="H257" s="2"/>
      <c r="I257" s="2"/>
      <c r="J257" s="2"/>
      <c r="K257" s="2"/>
      <c r="L257" s="2"/>
      <c r="M257" s="2"/>
      <c r="N257" s="2"/>
    </row>
    <row r="258" spans="1:14" s="68" customFormat="1" ht="12.75">
      <c r="A258" s="1"/>
      <c r="B258" s="2"/>
      <c r="C258" s="2"/>
      <c r="D258" s="2"/>
      <c r="E258" s="3"/>
      <c r="F258" s="3"/>
      <c r="G258" s="2"/>
      <c r="H258" s="2"/>
      <c r="I258" s="2"/>
      <c r="J258" s="2"/>
      <c r="K258" s="2"/>
      <c r="L258" s="2"/>
      <c r="M258" s="2"/>
      <c r="N258" s="2"/>
    </row>
    <row r="259" spans="1:14" s="68" customFormat="1" ht="12.75">
      <c r="A259" s="1"/>
      <c r="B259" s="2"/>
      <c r="C259" s="2"/>
      <c r="D259" s="2"/>
      <c r="E259" s="3"/>
      <c r="F259" s="3"/>
      <c r="G259" s="2"/>
      <c r="H259" s="2"/>
      <c r="I259" s="2"/>
      <c r="J259" s="2"/>
      <c r="K259" s="2"/>
      <c r="L259" s="2"/>
      <c r="M259" s="2"/>
      <c r="N259" s="2"/>
    </row>
    <row r="260" spans="1:14" s="68" customFormat="1" ht="12.75">
      <c r="A260" s="1"/>
      <c r="B260" s="2"/>
      <c r="C260" s="2"/>
      <c r="D260" s="2"/>
      <c r="E260" s="3"/>
      <c r="F260" s="3"/>
      <c r="G260" s="2"/>
      <c r="H260" s="2"/>
      <c r="I260" s="2"/>
      <c r="J260" s="2"/>
      <c r="K260" s="2"/>
      <c r="L260" s="2"/>
      <c r="M260" s="2"/>
      <c r="N260" s="2"/>
    </row>
    <row r="261" spans="1:14" s="68" customFormat="1" ht="12.75">
      <c r="A261" s="1"/>
      <c r="B261" s="2"/>
      <c r="C261" s="2"/>
      <c r="D261" s="2"/>
      <c r="E261" s="3"/>
      <c r="F261" s="3"/>
      <c r="G261" s="2"/>
      <c r="H261" s="2"/>
      <c r="I261" s="2"/>
      <c r="J261" s="2"/>
      <c r="K261" s="2"/>
      <c r="L261" s="2"/>
      <c r="M261" s="2"/>
      <c r="N261" s="2"/>
    </row>
    <row r="262" spans="1:14" s="68" customFormat="1" ht="12.75">
      <c r="A262" s="1"/>
      <c r="B262" s="2"/>
      <c r="C262" s="2"/>
      <c r="D262" s="2"/>
      <c r="E262" s="3"/>
      <c r="F262" s="3"/>
      <c r="G262" s="2"/>
      <c r="H262" s="2"/>
      <c r="I262" s="2"/>
      <c r="J262" s="2"/>
      <c r="K262" s="2"/>
      <c r="L262" s="2"/>
      <c r="M262" s="2"/>
      <c r="N262" s="2"/>
    </row>
    <row r="263" spans="1:14" s="68" customFormat="1" ht="12.75">
      <c r="A263" s="1"/>
      <c r="B263" s="2"/>
      <c r="C263" s="2"/>
      <c r="D263" s="2"/>
      <c r="E263" s="3"/>
      <c r="F263" s="3"/>
      <c r="G263" s="2"/>
      <c r="H263" s="2"/>
      <c r="I263" s="2"/>
      <c r="J263" s="2"/>
      <c r="K263" s="2"/>
      <c r="L263" s="2"/>
      <c r="M263" s="2"/>
      <c r="N263" s="2"/>
    </row>
    <row r="264" spans="1:14" s="68" customFormat="1" ht="12.75">
      <c r="A264" s="1"/>
      <c r="B264" s="2"/>
      <c r="C264" s="2"/>
      <c r="D264" s="2"/>
      <c r="E264" s="3"/>
      <c r="F264" s="3"/>
      <c r="G264" s="2"/>
      <c r="H264" s="2"/>
      <c r="I264" s="2"/>
      <c r="J264" s="2"/>
      <c r="K264" s="2"/>
      <c r="L264" s="2"/>
      <c r="M264" s="2"/>
      <c r="N264" s="2"/>
    </row>
    <row r="265" spans="1:14" s="68" customFormat="1" ht="12.75">
      <c r="A265" s="1"/>
      <c r="B265" s="2"/>
      <c r="C265" s="2"/>
      <c r="D265" s="2"/>
      <c r="E265" s="3"/>
      <c r="F265" s="3"/>
      <c r="G265" s="2"/>
      <c r="H265" s="2"/>
      <c r="I265" s="2"/>
      <c r="J265" s="2"/>
      <c r="K265" s="2"/>
      <c r="L265" s="2"/>
      <c r="M265" s="2"/>
      <c r="N265" s="2"/>
    </row>
    <row r="266" spans="1:14" s="68" customFormat="1" ht="12.75">
      <c r="A266" s="1"/>
      <c r="B266" s="2"/>
      <c r="C266" s="2"/>
      <c r="D266" s="2"/>
      <c r="E266" s="3"/>
      <c r="F266" s="3"/>
      <c r="G266" s="2"/>
      <c r="H266" s="2"/>
      <c r="I266" s="2"/>
      <c r="J266" s="2"/>
      <c r="K266" s="2"/>
      <c r="L266" s="2"/>
      <c r="M266" s="2"/>
      <c r="N266" s="2"/>
    </row>
    <row r="267" spans="1:14" s="68" customFormat="1" ht="12.75">
      <c r="A267" s="1"/>
      <c r="B267" s="2"/>
      <c r="C267" s="2"/>
      <c r="D267" s="2"/>
      <c r="E267" s="3"/>
      <c r="F267" s="3"/>
      <c r="G267" s="2"/>
      <c r="H267" s="2"/>
      <c r="I267" s="2"/>
      <c r="J267" s="2"/>
      <c r="K267" s="2"/>
      <c r="L267" s="2"/>
      <c r="M267" s="2"/>
      <c r="N267" s="2"/>
    </row>
    <row r="268" spans="1:14" s="68" customFormat="1" ht="12.75">
      <c r="A268" s="1"/>
      <c r="B268" s="2"/>
      <c r="C268" s="2"/>
      <c r="D268" s="2"/>
      <c r="E268" s="3"/>
      <c r="F268" s="3"/>
      <c r="G268" s="2"/>
      <c r="H268" s="2"/>
      <c r="I268" s="2"/>
      <c r="J268" s="2"/>
      <c r="K268" s="2"/>
      <c r="L268" s="2"/>
      <c r="M268" s="2"/>
      <c r="N268" s="2"/>
    </row>
    <row r="269" spans="1:14" s="68" customFormat="1" ht="12.75">
      <c r="A269" s="1"/>
      <c r="B269" s="2"/>
      <c r="C269" s="2"/>
      <c r="D269" s="2"/>
      <c r="E269" s="3"/>
      <c r="F269" s="3"/>
      <c r="G269" s="2"/>
      <c r="H269" s="2"/>
      <c r="I269" s="2"/>
      <c r="J269" s="2"/>
      <c r="K269" s="2"/>
      <c r="L269" s="2"/>
      <c r="M269" s="2"/>
      <c r="N269" s="2"/>
    </row>
    <row r="270" spans="1:14" s="68" customFormat="1" ht="12.75">
      <c r="A270" s="1"/>
      <c r="B270" s="2"/>
      <c r="C270" s="2"/>
      <c r="D270" s="2"/>
      <c r="E270" s="3"/>
      <c r="F270" s="3"/>
      <c r="G270" s="2"/>
      <c r="H270" s="2"/>
      <c r="I270" s="2"/>
      <c r="J270" s="2"/>
      <c r="K270" s="2"/>
      <c r="L270" s="2"/>
      <c r="M270" s="2"/>
      <c r="N270" s="2"/>
    </row>
    <row r="271" spans="1:14" s="68" customFormat="1" ht="12.75">
      <c r="A271" s="1"/>
      <c r="B271" s="2"/>
      <c r="C271" s="2"/>
      <c r="D271" s="2"/>
      <c r="E271" s="3"/>
      <c r="F271" s="3"/>
      <c r="G271" s="2"/>
      <c r="H271" s="2"/>
      <c r="I271" s="2"/>
      <c r="J271" s="2"/>
      <c r="K271" s="2"/>
      <c r="L271" s="2"/>
      <c r="M271" s="2"/>
      <c r="N271" s="2"/>
    </row>
    <row r="272" spans="1:14" s="68" customFormat="1" ht="12.75">
      <c r="A272" s="1"/>
      <c r="B272" s="2"/>
      <c r="C272" s="2"/>
      <c r="D272" s="2"/>
      <c r="E272" s="3"/>
      <c r="F272" s="3"/>
      <c r="G272" s="2"/>
      <c r="H272" s="2"/>
      <c r="I272" s="2"/>
      <c r="J272" s="2"/>
      <c r="K272" s="2"/>
      <c r="L272" s="2"/>
      <c r="M272" s="2"/>
      <c r="N272" s="2"/>
    </row>
    <row r="273" spans="1:14" s="68" customFormat="1" ht="12.75">
      <c r="A273" s="1"/>
      <c r="B273" s="2"/>
      <c r="C273" s="2"/>
      <c r="D273" s="2"/>
      <c r="E273" s="3"/>
      <c r="F273" s="3"/>
      <c r="G273" s="2"/>
      <c r="H273" s="2"/>
      <c r="I273" s="2"/>
      <c r="J273" s="2"/>
      <c r="K273" s="2"/>
      <c r="L273" s="2"/>
      <c r="M273" s="2"/>
      <c r="N273" s="2"/>
    </row>
    <row r="274" spans="1:14" s="68" customFormat="1" ht="12.75">
      <c r="A274" s="1"/>
      <c r="B274" s="2"/>
      <c r="C274" s="2"/>
      <c r="D274" s="2"/>
      <c r="E274" s="3"/>
      <c r="F274" s="3"/>
      <c r="G274" s="2"/>
      <c r="H274" s="2"/>
      <c r="I274" s="2"/>
      <c r="J274" s="2"/>
      <c r="K274" s="2"/>
      <c r="L274" s="2"/>
      <c r="M274" s="2"/>
      <c r="N274" s="2"/>
    </row>
    <row r="275" spans="1:14" s="68" customFormat="1" ht="12.75">
      <c r="A275" s="1"/>
      <c r="B275" s="2"/>
      <c r="C275" s="2"/>
      <c r="D275" s="2"/>
      <c r="E275" s="3"/>
      <c r="F275" s="3"/>
      <c r="G275" s="2"/>
      <c r="H275" s="2"/>
      <c r="I275" s="2"/>
      <c r="J275" s="2"/>
      <c r="K275" s="2"/>
      <c r="L275" s="2"/>
      <c r="M275" s="2"/>
      <c r="N275" s="2"/>
    </row>
    <row r="276" spans="1:14" s="68" customFormat="1" ht="12.75">
      <c r="A276" s="1"/>
      <c r="B276" s="2"/>
      <c r="C276" s="2"/>
      <c r="D276" s="2"/>
      <c r="E276" s="3"/>
      <c r="F276" s="3"/>
      <c r="G276" s="2"/>
      <c r="H276" s="2"/>
      <c r="I276" s="2"/>
      <c r="J276" s="2"/>
      <c r="K276" s="2"/>
      <c r="L276" s="2"/>
      <c r="M276" s="2"/>
      <c r="N276" s="2"/>
    </row>
    <row r="277" spans="1:14" s="68" customFormat="1" ht="12.75">
      <c r="A277" s="1"/>
      <c r="B277" s="2"/>
      <c r="C277" s="2"/>
      <c r="D277" s="2"/>
      <c r="E277" s="3"/>
      <c r="F277" s="3"/>
      <c r="G277" s="2"/>
      <c r="H277" s="2"/>
      <c r="I277" s="2"/>
      <c r="J277" s="2"/>
      <c r="K277" s="2"/>
      <c r="L277" s="2"/>
      <c r="M277" s="2"/>
      <c r="N277" s="2"/>
    </row>
    <row r="278" spans="1:14" s="68" customFormat="1" ht="12.75">
      <c r="A278" s="1"/>
      <c r="B278" s="2"/>
      <c r="C278" s="2"/>
      <c r="D278" s="2"/>
      <c r="E278" s="3"/>
      <c r="F278" s="3"/>
      <c r="G278" s="2"/>
      <c r="H278" s="2"/>
      <c r="I278" s="2"/>
      <c r="J278" s="2"/>
      <c r="K278" s="2"/>
      <c r="L278" s="2"/>
      <c r="M278" s="2"/>
      <c r="N278" s="2"/>
    </row>
    <row r="279" spans="1:14" s="68" customFormat="1" ht="12.75">
      <c r="A279" s="1"/>
      <c r="B279" s="2"/>
      <c r="C279" s="2"/>
      <c r="D279" s="2"/>
      <c r="E279" s="3"/>
      <c r="F279" s="3"/>
      <c r="G279" s="2"/>
      <c r="H279" s="2"/>
      <c r="I279" s="2"/>
      <c r="J279" s="2"/>
      <c r="K279" s="2"/>
      <c r="L279" s="2"/>
      <c r="M279" s="2"/>
      <c r="N279" s="2"/>
    </row>
    <row r="280" spans="1:14" s="68" customFormat="1" ht="12.75">
      <c r="A280" s="1"/>
      <c r="B280" s="2"/>
      <c r="C280" s="2"/>
      <c r="D280" s="2"/>
      <c r="E280" s="3"/>
      <c r="F280" s="3"/>
      <c r="G280" s="2"/>
      <c r="H280" s="2"/>
      <c r="I280" s="2"/>
      <c r="J280" s="2"/>
      <c r="K280" s="2"/>
      <c r="L280" s="2"/>
      <c r="M280" s="2"/>
      <c r="N280" s="2"/>
    </row>
    <row r="281" spans="1:14" s="68" customFormat="1" ht="12.75">
      <c r="A281" s="1"/>
      <c r="B281" s="2"/>
      <c r="C281" s="2"/>
      <c r="D281" s="2"/>
      <c r="E281" s="3"/>
      <c r="F281" s="3"/>
      <c r="G281" s="2"/>
      <c r="H281" s="2"/>
      <c r="I281" s="2"/>
      <c r="J281" s="2"/>
      <c r="K281" s="2"/>
      <c r="L281" s="2"/>
      <c r="M281" s="2"/>
      <c r="N281" s="2"/>
    </row>
    <row r="282" spans="1:14" s="68" customFormat="1" ht="12.75">
      <c r="A282" s="1"/>
      <c r="B282" s="2"/>
      <c r="C282" s="2"/>
      <c r="D282" s="2"/>
      <c r="E282" s="3"/>
      <c r="F282" s="3"/>
      <c r="G282" s="2"/>
      <c r="H282" s="2"/>
      <c r="I282" s="2"/>
      <c r="J282" s="2"/>
      <c r="K282" s="2"/>
      <c r="L282" s="2"/>
      <c r="M282" s="2"/>
      <c r="N282" s="2"/>
    </row>
    <row r="283" spans="1:14" s="68" customFormat="1" ht="12.75">
      <c r="A283" s="1"/>
      <c r="B283" s="2"/>
      <c r="C283" s="2"/>
      <c r="D283" s="2"/>
      <c r="E283" s="3"/>
      <c r="F283" s="3"/>
      <c r="G283" s="2"/>
      <c r="H283" s="2"/>
      <c r="I283" s="2"/>
      <c r="J283" s="2"/>
      <c r="K283" s="2"/>
      <c r="L283" s="2"/>
      <c r="M283" s="2"/>
      <c r="N283" s="2"/>
    </row>
    <row r="284" spans="1:14" s="68" customFormat="1" ht="12.75">
      <c r="A284" s="1"/>
      <c r="B284" s="2"/>
      <c r="C284" s="2"/>
      <c r="D284" s="2"/>
      <c r="E284" s="3"/>
      <c r="F284" s="3"/>
      <c r="G284" s="2"/>
      <c r="H284" s="2"/>
      <c r="I284" s="2"/>
      <c r="J284" s="2"/>
      <c r="K284" s="2"/>
      <c r="L284" s="2"/>
      <c r="M284" s="2"/>
      <c r="N284" s="2"/>
    </row>
  </sheetData>
  <sheetProtection/>
  <mergeCells count="34">
    <mergeCell ref="M4:N4"/>
    <mergeCell ref="U10:X10"/>
    <mergeCell ref="G11:H11"/>
    <mergeCell ref="S11:T11"/>
    <mergeCell ref="U11:V11"/>
    <mergeCell ref="O11:P11"/>
    <mergeCell ref="Q11:R11"/>
    <mergeCell ref="W11:X11"/>
    <mergeCell ref="A8:X8"/>
    <mergeCell ref="A10:A11"/>
    <mergeCell ref="B10:B11"/>
    <mergeCell ref="C10:D11"/>
    <mergeCell ref="E10:F11"/>
    <mergeCell ref="G10:L10"/>
    <mergeCell ref="M10:N11"/>
    <mergeCell ref="O10:T10"/>
    <mergeCell ref="I11:J11"/>
    <mergeCell ref="K11:L11"/>
    <mergeCell ref="B163:D163"/>
    <mergeCell ref="O159:T159"/>
    <mergeCell ref="U159:X159"/>
    <mergeCell ref="G160:H160"/>
    <mergeCell ref="S160:T160"/>
    <mergeCell ref="U160:V160"/>
    <mergeCell ref="B159:D161"/>
    <mergeCell ref="E159:F160"/>
    <mergeCell ref="G159:L159"/>
    <mergeCell ref="M159:N160"/>
    <mergeCell ref="W160:X160"/>
    <mergeCell ref="B162:D162"/>
    <mergeCell ref="I160:J160"/>
    <mergeCell ref="K160:L160"/>
    <mergeCell ref="O160:P160"/>
    <mergeCell ref="Q160:R160"/>
  </mergeCells>
  <printOptions/>
  <pageMargins left="0" right="0" top="0" bottom="0" header="0.5118055555555555" footer="0.5118055555555555"/>
  <pageSetup horizontalDpi="300" verticalDpi="3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2018-03-29T04:45:50Z</cp:lastPrinted>
  <dcterms:created xsi:type="dcterms:W3CDTF">2018-03-30T12:58:24Z</dcterms:created>
  <dcterms:modified xsi:type="dcterms:W3CDTF">2018-03-30T12:58:24Z</dcterms:modified>
  <cp:category/>
  <cp:version/>
  <cp:contentType/>
  <cp:contentStatus/>
</cp:coreProperties>
</file>